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Road/Shared folders/CTM-CTW - Available to NFs/"/>
    </mc:Choice>
  </mc:AlternateContent>
  <xr:revisionPtr revIDLastSave="23" documentId="13_ncr:1_{5E722892-D80F-4002-8A6D-61AB33E5DC25}" xr6:coauthVersionLast="47" xr6:coauthVersionMax="47" xr10:uidLastSave="{EC0D18FE-78BA-4BD4-BA49-77D2E780982A}"/>
  <bookViews>
    <workbookView xWindow="28680" yWindow="-120" windowWidth="29040" windowHeight="15720" xr2:uid="{00000000-000D-0000-FFFF-FFFF00000000}"/>
  </bookViews>
  <sheets>
    <sheet name="Budget" sheetId="1" r:id="rId1"/>
    <sheet name="DV-IDENTITY-0" sheetId="5" state="veryHidden" r:id="rId2"/>
  </sheets>
  <definedNames>
    <definedName name="_xlnm.Print_Area" localSheetId="0">Budget!$A$1:$H$61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7" i="1" l="1"/>
  <c r="D29" i="1"/>
  <c r="E29" i="1"/>
  <c r="F31" i="1"/>
  <c r="G31" i="1" s="1"/>
  <c r="E19" i="1"/>
  <c r="D55" i="1"/>
  <c r="G44" i="1"/>
  <c r="D19" i="1"/>
  <c r="F42" i="1"/>
  <c r="GT2" i="5" s="1"/>
  <c r="F46" i="1"/>
  <c r="F45" i="1"/>
  <c r="F43" i="1"/>
  <c r="G43" i="1" s="1"/>
  <c r="F41" i="1"/>
  <c r="G41" i="1" s="1"/>
  <c r="F28" i="1"/>
  <c r="F36" i="1"/>
  <c r="F35" i="1"/>
  <c r="G35" i="1" s="1"/>
  <c r="F33" i="1"/>
  <c r="G33" i="1" s="1"/>
  <c r="CZ2" i="5" s="1"/>
  <c r="F32" i="1"/>
  <c r="G32" i="1" s="1"/>
  <c r="F27" i="1"/>
  <c r="F26" i="1"/>
  <c r="G26" i="1" s="1"/>
  <c r="F24" i="1"/>
  <c r="G24" i="1"/>
  <c r="F23" i="1"/>
  <c r="G23" i="1" s="1"/>
  <c r="F15" i="1"/>
  <c r="G15" i="1" s="1"/>
  <c r="F17" i="1"/>
  <c r="G17" i="1" s="1"/>
  <c r="GB1" i="5" s="1"/>
  <c r="F18" i="1"/>
  <c r="F14" i="1"/>
  <c r="G14" i="1" s="1"/>
  <c r="E37" i="1"/>
  <c r="C32" i="5"/>
  <c r="D32" i="5"/>
  <c r="E32" i="5"/>
  <c r="C31" i="5"/>
  <c r="D31" i="5"/>
  <c r="E31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Y30" i="5"/>
  <c r="Z30" i="5"/>
  <c r="AA30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N29" i="5"/>
  <c r="DO29" i="5"/>
  <c r="DP29" i="5"/>
  <c r="DQ29" i="5"/>
  <c r="DR29" i="5"/>
  <c r="DS29" i="5"/>
  <c r="DT29" i="5"/>
  <c r="DU29" i="5"/>
  <c r="DV29" i="5"/>
  <c r="DW29" i="5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GD29" i="5"/>
  <c r="GE29" i="5"/>
  <c r="GF29" i="5"/>
  <c r="GG29" i="5"/>
  <c r="GH29" i="5"/>
  <c r="GI29" i="5"/>
  <c r="GJ29" i="5"/>
  <c r="GK29" i="5"/>
  <c r="GL29" i="5"/>
  <c r="GM29" i="5"/>
  <c r="GN29" i="5"/>
  <c r="GO29" i="5"/>
  <c r="GP29" i="5"/>
  <c r="GQ29" i="5"/>
  <c r="GR29" i="5"/>
  <c r="GS29" i="5"/>
  <c r="GT29" i="5"/>
  <c r="GU29" i="5"/>
  <c r="GV29" i="5"/>
  <c r="GW29" i="5"/>
  <c r="GX29" i="5"/>
  <c r="GY29" i="5"/>
  <c r="GZ29" i="5"/>
  <c r="HA29" i="5"/>
  <c r="HB29" i="5"/>
  <c r="HC29" i="5"/>
  <c r="HD29" i="5"/>
  <c r="HE29" i="5"/>
  <c r="HF29" i="5"/>
  <c r="HG29" i="5"/>
  <c r="HH29" i="5"/>
  <c r="HI29" i="5"/>
  <c r="HJ29" i="5"/>
  <c r="HK29" i="5"/>
  <c r="HL29" i="5"/>
  <c r="HM29" i="5"/>
  <c r="HN29" i="5"/>
  <c r="HO29" i="5"/>
  <c r="HP29" i="5"/>
  <c r="HQ29" i="5"/>
  <c r="HR29" i="5"/>
  <c r="HS29" i="5"/>
  <c r="HT29" i="5"/>
  <c r="HU29" i="5"/>
  <c r="HV29" i="5"/>
  <c r="HW29" i="5"/>
  <c r="HX29" i="5"/>
  <c r="HY29" i="5"/>
  <c r="HZ29" i="5"/>
  <c r="IA29" i="5"/>
  <c r="IB29" i="5"/>
  <c r="IC29" i="5"/>
  <c r="ID29" i="5"/>
  <c r="IE29" i="5"/>
  <c r="IF29" i="5"/>
  <c r="IG29" i="5"/>
  <c r="IH29" i="5"/>
  <c r="II29" i="5"/>
  <c r="IJ29" i="5"/>
  <c r="IK29" i="5"/>
  <c r="IL29" i="5"/>
  <c r="IM29" i="5"/>
  <c r="IN29" i="5"/>
  <c r="IO29" i="5"/>
  <c r="IP29" i="5"/>
  <c r="IQ29" i="5"/>
  <c r="IR29" i="5"/>
  <c r="IS29" i="5"/>
  <c r="IT29" i="5"/>
  <c r="IU29" i="5"/>
  <c r="IV29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IS28" i="5"/>
  <c r="IT28" i="5"/>
  <c r="IU28" i="5"/>
  <c r="IV28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IU26" i="5"/>
  <c r="IV26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IU25" i="5"/>
  <c r="IV25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IU24" i="5"/>
  <c r="IV24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GT23" i="5"/>
  <c r="GU23" i="5"/>
  <c r="GV23" i="5"/>
  <c r="GW23" i="5"/>
  <c r="GX23" i="5"/>
  <c r="GY23" i="5"/>
  <c r="GZ23" i="5"/>
  <c r="HA23" i="5"/>
  <c r="HB23" i="5"/>
  <c r="HC23" i="5"/>
  <c r="HD23" i="5"/>
  <c r="HE23" i="5"/>
  <c r="HF23" i="5"/>
  <c r="HG23" i="5"/>
  <c r="HH23" i="5"/>
  <c r="HI23" i="5"/>
  <c r="HJ23" i="5"/>
  <c r="HK23" i="5"/>
  <c r="HL23" i="5"/>
  <c r="HM23" i="5"/>
  <c r="HN23" i="5"/>
  <c r="HO23" i="5"/>
  <c r="HP23" i="5"/>
  <c r="HQ23" i="5"/>
  <c r="HR23" i="5"/>
  <c r="HS23" i="5"/>
  <c r="HT23" i="5"/>
  <c r="HU23" i="5"/>
  <c r="HV23" i="5"/>
  <c r="HW23" i="5"/>
  <c r="HX23" i="5"/>
  <c r="HY23" i="5"/>
  <c r="HZ23" i="5"/>
  <c r="IA23" i="5"/>
  <c r="IB23" i="5"/>
  <c r="IC23" i="5"/>
  <c r="ID23" i="5"/>
  <c r="IE23" i="5"/>
  <c r="IF23" i="5"/>
  <c r="IG23" i="5"/>
  <c r="IH23" i="5"/>
  <c r="II23" i="5"/>
  <c r="IJ23" i="5"/>
  <c r="IK23" i="5"/>
  <c r="IL23" i="5"/>
  <c r="IM23" i="5"/>
  <c r="IN23" i="5"/>
  <c r="IO23" i="5"/>
  <c r="IP23" i="5"/>
  <c r="IQ23" i="5"/>
  <c r="IR23" i="5"/>
  <c r="IS23" i="5"/>
  <c r="IT23" i="5"/>
  <c r="IU23" i="5"/>
  <c r="IV23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GT22" i="5"/>
  <c r="GU22" i="5"/>
  <c r="GV22" i="5"/>
  <c r="GW22" i="5"/>
  <c r="GX22" i="5"/>
  <c r="GY22" i="5"/>
  <c r="GZ22" i="5"/>
  <c r="HA22" i="5"/>
  <c r="HB22" i="5"/>
  <c r="HC22" i="5"/>
  <c r="HD22" i="5"/>
  <c r="HE22" i="5"/>
  <c r="HF22" i="5"/>
  <c r="HG22" i="5"/>
  <c r="HH22" i="5"/>
  <c r="HI22" i="5"/>
  <c r="HJ22" i="5"/>
  <c r="HK22" i="5"/>
  <c r="HL22" i="5"/>
  <c r="HM22" i="5"/>
  <c r="HN22" i="5"/>
  <c r="HO22" i="5"/>
  <c r="HP22" i="5"/>
  <c r="HQ22" i="5"/>
  <c r="HR22" i="5"/>
  <c r="HS22" i="5"/>
  <c r="HT22" i="5"/>
  <c r="HU22" i="5"/>
  <c r="HV22" i="5"/>
  <c r="HW22" i="5"/>
  <c r="HX22" i="5"/>
  <c r="HY22" i="5"/>
  <c r="HZ22" i="5"/>
  <c r="IA22" i="5"/>
  <c r="IB22" i="5"/>
  <c r="IC22" i="5"/>
  <c r="ID22" i="5"/>
  <c r="IE22" i="5"/>
  <c r="IF22" i="5"/>
  <c r="IG22" i="5"/>
  <c r="IH22" i="5"/>
  <c r="II22" i="5"/>
  <c r="IJ22" i="5"/>
  <c r="IK22" i="5"/>
  <c r="IL22" i="5"/>
  <c r="IM22" i="5"/>
  <c r="IN22" i="5"/>
  <c r="IO22" i="5"/>
  <c r="IP22" i="5"/>
  <c r="IQ22" i="5"/>
  <c r="IR22" i="5"/>
  <c r="IS22" i="5"/>
  <c r="IT22" i="5"/>
  <c r="IU22" i="5"/>
  <c r="IV22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GT21" i="5"/>
  <c r="GU21" i="5"/>
  <c r="GV21" i="5"/>
  <c r="GW21" i="5"/>
  <c r="GX21" i="5"/>
  <c r="GY21" i="5"/>
  <c r="GZ21" i="5"/>
  <c r="HA21" i="5"/>
  <c r="HB21" i="5"/>
  <c r="HC21" i="5"/>
  <c r="HD21" i="5"/>
  <c r="HE21" i="5"/>
  <c r="HF21" i="5"/>
  <c r="HG21" i="5"/>
  <c r="HH21" i="5"/>
  <c r="HI21" i="5"/>
  <c r="HJ21" i="5"/>
  <c r="HK21" i="5"/>
  <c r="HL21" i="5"/>
  <c r="HM21" i="5"/>
  <c r="HN21" i="5"/>
  <c r="HO21" i="5"/>
  <c r="HP21" i="5"/>
  <c r="HQ21" i="5"/>
  <c r="HR21" i="5"/>
  <c r="HS21" i="5"/>
  <c r="HT21" i="5"/>
  <c r="HU21" i="5"/>
  <c r="HV21" i="5"/>
  <c r="HW21" i="5"/>
  <c r="HX21" i="5"/>
  <c r="HY21" i="5"/>
  <c r="HZ21" i="5"/>
  <c r="IA21" i="5"/>
  <c r="IB21" i="5"/>
  <c r="IC21" i="5"/>
  <c r="ID21" i="5"/>
  <c r="IE21" i="5"/>
  <c r="IF21" i="5"/>
  <c r="IG21" i="5"/>
  <c r="IH21" i="5"/>
  <c r="II21" i="5"/>
  <c r="IJ21" i="5"/>
  <c r="IK21" i="5"/>
  <c r="IL21" i="5"/>
  <c r="IM21" i="5"/>
  <c r="IN21" i="5"/>
  <c r="IO21" i="5"/>
  <c r="IP21" i="5"/>
  <c r="IQ21" i="5"/>
  <c r="IR21" i="5"/>
  <c r="IS21" i="5"/>
  <c r="IT21" i="5"/>
  <c r="IU21" i="5"/>
  <c r="IV21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GT20" i="5"/>
  <c r="GU20" i="5"/>
  <c r="GV20" i="5"/>
  <c r="GW20" i="5"/>
  <c r="GX20" i="5"/>
  <c r="GY20" i="5"/>
  <c r="GZ20" i="5"/>
  <c r="HA20" i="5"/>
  <c r="HB20" i="5"/>
  <c r="HC20" i="5"/>
  <c r="HD20" i="5"/>
  <c r="HE20" i="5"/>
  <c r="HF20" i="5"/>
  <c r="HG20" i="5"/>
  <c r="HH20" i="5"/>
  <c r="HI20" i="5"/>
  <c r="HJ20" i="5"/>
  <c r="HK20" i="5"/>
  <c r="HL20" i="5"/>
  <c r="HM20" i="5"/>
  <c r="HN20" i="5"/>
  <c r="HO20" i="5"/>
  <c r="HP20" i="5"/>
  <c r="HQ20" i="5"/>
  <c r="HR20" i="5"/>
  <c r="HS20" i="5"/>
  <c r="HT20" i="5"/>
  <c r="HU20" i="5"/>
  <c r="HV20" i="5"/>
  <c r="HW20" i="5"/>
  <c r="HX20" i="5"/>
  <c r="HY20" i="5"/>
  <c r="HZ20" i="5"/>
  <c r="IA20" i="5"/>
  <c r="IB20" i="5"/>
  <c r="IC20" i="5"/>
  <c r="ID20" i="5"/>
  <c r="IE20" i="5"/>
  <c r="IF20" i="5"/>
  <c r="IG20" i="5"/>
  <c r="IH20" i="5"/>
  <c r="II20" i="5"/>
  <c r="IJ20" i="5"/>
  <c r="IK20" i="5"/>
  <c r="IL20" i="5"/>
  <c r="IM20" i="5"/>
  <c r="IN20" i="5"/>
  <c r="IO20" i="5"/>
  <c r="IP20" i="5"/>
  <c r="IQ20" i="5"/>
  <c r="IR20" i="5"/>
  <c r="IS20" i="5"/>
  <c r="IT20" i="5"/>
  <c r="IU20" i="5"/>
  <c r="IV20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GT19" i="5"/>
  <c r="GU19" i="5"/>
  <c r="GV19" i="5"/>
  <c r="GW19" i="5"/>
  <c r="GX19" i="5"/>
  <c r="GY19" i="5"/>
  <c r="GZ19" i="5"/>
  <c r="HA19" i="5"/>
  <c r="HB19" i="5"/>
  <c r="HC19" i="5"/>
  <c r="HD19" i="5"/>
  <c r="HE19" i="5"/>
  <c r="HF19" i="5"/>
  <c r="HG19" i="5"/>
  <c r="HH19" i="5"/>
  <c r="HI19" i="5"/>
  <c r="HJ19" i="5"/>
  <c r="HK19" i="5"/>
  <c r="HL19" i="5"/>
  <c r="HM19" i="5"/>
  <c r="HN19" i="5"/>
  <c r="HO19" i="5"/>
  <c r="HP19" i="5"/>
  <c r="HQ19" i="5"/>
  <c r="HR19" i="5"/>
  <c r="HS19" i="5"/>
  <c r="HT19" i="5"/>
  <c r="HU19" i="5"/>
  <c r="HV19" i="5"/>
  <c r="HW19" i="5"/>
  <c r="HX19" i="5"/>
  <c r="HY19" i="5"/>
  <c r="HZ19" i="5"/>
  <c r="IA19" i="5"/>
  <c r="IB19" i="5"/>
  <c r="IC19" i="5"/>
  <c r="ID19" i="5"/>
  <c r="IE19" i="5"/>
  <c r="IF19" i="5"/>
  <c r="IG19" i="5"/>
  <c r="IH19" i="5"/>
  <c r="II19" i="5"/>
  <c r="IJ19" i="5"/>
  <c r="IK19" i="5"/>
  <c r="IL19" i="5"/>
  <c r="IM19" i="5"/>
  <c r="IN19" i="5"/>
  <c r="IO19" i="5"/>
  <c r="IP19" i="5"/>
  <c r="IQ19" i="5"/>
  <c r="IR19" i="5"/>
  <c r="IS19" i="5"/>
  <c r="IT19" i="5"/>
  <c r="IU19" i="5"/>
  <c r="IV19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GT18" i="5"/>
  <c r="GU18" i="5"/>
  <c r="GV18" i="5"/>
  <c r="GW18" i="5"/>
  <c r="GX18" i="5"/>
  <c r="GY18" i="5"/>
  <c r="GZ18" i="5"/>
  <c r="HA18" i="5"/>
  <c r="HB18" i="5"/>
  <c r="HC18" i="5"/>
  <c r="HD18" i="5"/>
  <c r="HE18" i="5"/>
  <c r="HF18" i="5"/>
  <c r="HG18" i="5"/>
  <c r="HH18" i="5"/>
  <c r="HI18" i="5"/>
  <c r="HJ18" i="5"/>
  <c r="HK18" i="5"/>
  <c r="HL18" i="5"/>
  <c r="HM18" i="5"/>
  <c r="HN18" i="5"/>
  <c r="HO18" i="5"/>
  <c r="HP18" i="5"/>
  <c r="HQ18" i="5"/>
  <c r="HR18" i="5"/>
  <c r="HS18" i="5"/>
  <c r="HT18" i="5"/>
  <c r="HU18" i="5"/>
  <c r="HV18" i="5"/>
  <c r="HW18" i="5"/>
  <c r="HX18" i="5"/>
  <c r="HY18" i="5"/>
  <c r="HZ18" i="5"/>
  <c r="IA18" i="5"/>
  <c r="IB18" i="5"/>
  <c r="IC18" i="5"/>
  <c r="ID18" i="5"/>
  <c r="IE18" i="5"/>
  <c r="IF18" i="5"/>
  <c r="IG18" i="5"/>
  <c r="IH18" i="5"/>
  <c r="II18" i="5"/>
  <c r="IJ18" i="5"/>
  <c r="IK18" i="5"/>
  <c r="IL18" i="5"/>
  <c r="IM18" i="5"/>
  <c r="IN18" i="5"/>
  <c r="IO18" i="5"/>
  <c r="IP18" i="5"/>
  <c r="IQ18" i="5"/>
  <c r="IR18" i="5"/>
  <c r="IS18" i="5"/>
  <c r="IT18" i="5"/>
  <c r="IU18" i="5"/>
  <c r="IV18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GT17" i="5"/>
  <c r="GU17" i="5"/>
  <c r="GV17" i="5"/>
  <c r="GW17" i="5"/>
  <c r="GX17" i="5"/>
  <c r="GY17" i="5"/>
  <c r="GZ17" i="5"/>
  <c r="HA17" i="5"/>
  <c r="HB17" i="5"/>
  <c r="HC17" i="5"/>
  <c r="HD17" i="5"/>
  <c r="HE17" i="5"/>
  <c r="HF17" i="5"/>
  <c r="HG17" i="5"/>
  <c r="HH17" i="5"/>
  <c r="HI17" i="5"/>
  <c r="HJ17" i="5"/>
  <c r="HK17" i="5"/>
  <c r="HL17" i="5"/>
  <c r="HM17" i="5"/>
  <c r="HN17" i="5"/>
  <c r="HO17" i="5"/>
  <c r="HP17" i="5"/>
  <c r="HQ17" i="5"/>
  <c r="HR17" i="5"/>
  <c r="HS17" i="5"/>
  <c r="HT17" i="5"/>
  <c r="HU17" i="5"/>
  <c r="HV17" i="5"/>
  <c r="HW17" i="5"/>
  <c r="HX17" i="5"/>
  <c r="HY17" i="5"/>
  <c r="HZ17" i="5"/>
  <c r="IA17" i="5"/>
  <c r="IB17" i="5"/>
  <c r="IC17" i="5"/>
  <c r="ID17" i="5"/>
  <c r="IE17" i="5"/>
  <c r="IF17" i="5"/>
  <c r="IG17" i="5"/>
  <c r="IH17" i="5"/>
  <c r="II17" i="5"/>
  <c r="IJ17" i="5"/>
  <c r="IK17" i="5"/>
  <c r="IL17" i="5"/>
  <c r="IM17" i="5"/>
  <c r="IN17" i="5"/>
  <c r="IO17" i="5"/>
  <c r="IP17" i="5"/>
  <c r="IQ17" i="5"/>
  <c r="IR17" i="5"/>
  <c r="IS17" i="5"/>
  <c r="IT17" i="5"/>
  <c r="IU17" i="5"/>
  <c r="IV17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GT16" i="5"/>
  <c r="GU16" i="5"/>
  <c r="GV16" i="5"/>
  <c r="GW16" i="5"/>
  <c r="GX16" i="5"/>
  <c r="GY16" i="5"/>
  <c r="GZ16" i="5"/>
  <c r="HA16" i="5"/>
  <c r="HB16" i="5"/>
  <c r="HC16" i="5"/>
  <c r="HD16" i="5"/>
  <c r="HE16" i="5"/>
  <c r="HF16" i="5"/>
  <c r="HG16" i="5"/>
  <c r="HH16" i="5"/>
  <c r="HI16" i="5"/>
  <c r="HJ16" i="5"/>
  <c r="HK16" i="5"/>
  <c r="HL16" i="5"/>
  <c r="HM16" i="5"/>
  <c r="HN16" i="5"/>
  <c r="HO16" i="5"/>
  <c r="HP16" i="5"/>
  <c r="HQ16" i="5"/>
  <c r="HR16" i="5"/>
  <c r="HS16" i="5"/>
  <c r="HT16" i="5"/>
  <c r="HU16" i="5"/>
  <c r="HV16" i="5"/>
  <c r="HW16" i="5"/>
  <c r="HX16" i="5"/>
  <c r="HY16" i="5"/>
  <c r="HZ16" i="5"/>
  <c r="IA16" i="5"/>
  <c r="IB16" i="5"/>
  <c r="IC16" i="5"/>
  <c r="ID16" i="5"/>
  <c r="IE16" i="5"/>
  <c r="IF16" i="5"/>
  <c r="IG16" i="5"/>
  <c r="IH16" i="5"/>
  <c r="II16" i="5"/>
  <c r="IJ16" i="5"/>
  <c r="IK16" i="5"/>
  <c r="IL16" i="5"/>
  <c r="IM16" i="5"/>
  <c r="IN16" i="5"/>
  <c r="IO16" i="5"/>
  <c r="IP16" i="5"/>
  <c r="IQ16" i="5"/>
  <c r="IR16" i="5"/>
  <c r="IS16" i="5"/>
  <c r="IT16" i="5"/>
  <c r="IU16" i="5"/>
  <c r="IV16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GT15" i="5"/>
  <c r="GU15" i="5"/>
  <c r="GV15" i="5"/>
  <c r="GW15" i="5"/>
  <c r="GX15" i="5"/>
  <c r="GY15" i="5"/>
  <c r="GZ15" i="5"/>
  <c r="HA15" i="5"/>
  <c r="HB15" i="5"/>
  <c r="HC15" i="5"/>
  <c r="HD15" i="5"/>
  <c r="HE15" i="5"/>
  <c r="HF15" i="5"/>
  <c r="HG15" i="5"/>
  <c r="HH15" i="5"/>
  <c r="HI15" i="5"/>
  <c r="HJ15" i="5"/>
  <c r="HK15" i="5"/>
  <c r="HL15" i="5"/>
  <c r="HM15" i="5"/>
  <c r="HN15" i="5"/>
  <c r="HO15" i="5"/>
  <c r="HP15" i="5"/>
  <c r="HQ15" i="5"/>
  <c r="HR15" i="5"/>
  <c r="HS15" i="5"/>
  <c r="HT15" i="5"/>
  <c r="HU15" i="5"/>
  <c r="HV15" i="5"/>
  <c r="HW15" i="5"/>
  <c r="HX15" i="5"/>
  <c r="HY15" i="5"/>
  <c r="HZ15" i="5"/>
  <c r="IA15" i="5"/>
  <c r="IB15" i="5"/>
  <c r="IC15" i="5"/>
  <c r="ID15" i="5"/>
  <c r="IE15" i="5"/>
  <c r="IF15" i="5"/>
  <c r="IG15" i="5"/>
  <c r="IH15" i="5"/>
  <c r="II15" i="5"/>
  <c r="IJ15" i="5"/>
  <c r="IK15" i="5"/>
  <c r="IL15" i="5"/>
  <c r="IM15" i="5"/>
  <c r="IN15" i="5"/>
  <c r="IO15" i="5"/>
  <c r="IP15" i="5"/>
  <c r="IQ15" i="5"/>
  <c r="IR15" i="5"/>
  <c r="IS15" i="5"/>
  <c r="IT15" i="5"/>
  <c r="IU15" i="5"/>
  <c r="IV15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DG14" i="5"/>
  <c r="DH14" i="5"/>
  <c r="DI14" i="5"/>
  <c r="DJ14" i="5"/>
  <c r="DK14" i="5"/>
  <c r="DL14" i="5"/>
  <c r="DM14" i="5"/>
  <c r="DN14" i="5"/>
  <c r="DO14" i="5"/>
  <c r="DP14" i="5"/>
  <c r="DQ14" i="5"/>
  <c r="DR14" i="5"/>
  <c r="DS14" i="5"/>
  <c r="DT14" i="5"/>
  <c r="DU14" i="5"/>
  <c r="DV14" i="5"/>
  <c r="DW14" i="5"/>
  <c r="DX14" i="5"/>
  <c r="DY14" i="5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GD14" i="5"/>
  <c r="GE14" i="5"/>
  <c r="GF14" i="5"/>
  <c r="GG14" i="5"/>
  <c r="GH14" i="5"/>
  <c r="GI14" i="5"/>
  <c r="GJ14" i="5"/>
  <c r="GK14" i="5"/>
  <c r="GL14" i="5"/>
  <c r="GM14" i="5"/>
  <c r="GN14" i="5"/>
  <c r="GO14" i="5"/>
  <c r="GP14" i="5"/>
  <c r="GQ14" i="5"/>
  <c r="GR14" i="5"/>
  <c r="GS14" i="5"/>
  <c r="GT14" i="5"/>
  <c r="GU14" i="5"/>
  <c r="GV14" i="5"/>
  <c r="GW14" i="5"/>
  <c r="GX14" i="5"/>
  <c r="GY14" i="5"/>
  <c r="GZ14" i="5"/>
  <c r="HA14" i="5"/>
  <c r="HB14" i="5"/>
  <c r="HC14" i="5"/>
  <c r="HD14" i="5"/>
  <c r="HE14" i="5"/>
  <c r="HF14" i="5"/>
  <c r="HG14" i="5"/>
  <c r="HH14" i="5"/>
  <c r="HI14" i="5"/>
  <c r="HJ14" i="5"/>
  <c r="HK14" i="5"/>
  <c r="HL14" i="5"/>
  <c r="HM14" i="5"/>
  <c r="HN14" i="5"/>
  <c r="HO14" i="5"/>
  <c r="HP14" i="5"/>
  <c r="HQ14" i="5"/>
  <c r="HR14" i="5"/>
  <c r="HS14" i="5"/>
  <c r="HT14" i="5"/>
  <c r="HU14" i="5"/>
  <c r="HV14" i="5"/>
  <c r="HW14" i="5"/>
  <c r="HX14" i="5"/>
  <c r="HY14" i="5"/>
  <c r="HZ14" i="5"/>
  <c r="IA14" i="5"/>
  <c r="IB14" i="5"/>
  <c r="IC14" i="5"/>
  <c r="ID14" i="5"/>
  <c r="IE14" i="5"/>
  <c r="IF14" i="5"/>
  <c r="IG14" i="5"/>
  <c r="IH14" i="5"/>
  <c r="II14" i="5"/>
  <c r="IJ14" i="5"/>
  <c r="IK14" i="5"/>
  <c r="IL14" i="5"/>
  <c r="IM14" i="5"/>
  <c r="IN14" i="5"/>
  <c r="IO14" i="5"/>
  <c r="IP14" i="5"/>
  <c r="IQ14" i="5"/>
  <c r="IR14" i="5"/>
  <c r="IS14" i="5"/>
  <c r="IT14" i="5"/>
  <c r="IU14" i="5"/>
  <c r="IV14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GD13" i="5"/>
  <c r="GE13" i="5"/>
  <c r="GF13" i="5"/>
  <c r="GG13" i="5"/>
  <c r="GH13" i="5"/>
  <c r="GI13" i="5"/>
  <c r="GJ13" i="5"/>
  <c r="GK13" i="5"/>
  <c r="GL13" i="5"/>
  <c r="GM13" i="5"/>
  <c r="GN13" i="5"/>
  <c r="GO13" i="5"/>
  <c r="GP13" i="5"/>
  <c r="GQ13" i="5"/>
  <c r="GR13" i="5"/>
  <c r="GS13" i="5"/>
  <c r="GT13" i="5"/>
  <c r="GU13" i="5"/>
  <c r="GV13" i="5"/>
  <c r="GW13" i="5"/>
  <c r="GX13" i="5"/>
  <c r="GY13" i="5"/>
  <c r="GZ13" i="5"/>
  <c r="HA13" i="5"/>
  <c r="HB13" i="5"/>
  <c r="HC13" i="5"/>
  <c r="HD13" i="5"/>
  <c r="HE13" i="5"/>
  <c r="HF13" i="5"/>
  <c r="HG13" i="5"/>
  <c r="HH13" i="5"/>
  <c r="HI13" i="5"/>
  <c r="HJ13" i="5"/>
  <c r="HK13" i="5"/>
  <c r="HL13" i="5"/>
  <c r="HM13" i="5"/>
  <c r="HN13" i="5"/>
  <c r="HO13" i="5"/>
  <c r="HP13" i="5"/>
  <c r="HQ13" i="5"/>
  <c r="HR13" i="5"/>
  <c r="HS13" i="5"/>
  <c r="HT13" i="5"/>
  <c r="HU13" i="5"/>
  <c r="HV13" i="5"/>
  <c r="HW13" i="5"/>
  <c r="HX13" i="5"/>
  <c r="HY13" i="5"/>
  <c r="HZ13" i="5"/>
  <c r="IA13" i="5"/>
  <c r="IB13" i="5"/>
  <c r="IC13" i="5"/>
  <c r="ID13" i="5"/>
  <c r="IE13" i="5"/>
  <c r="IF13" i="5"/>
  <c r="IG13" i="5"/>
  <c r="IH13" i="5"/>
  <c r="II13" i="5"/>
  <c r="IJ13" i="5"/>
  <c r="IK13" i="5"/>
  <c r="IL13" i="5"/>
  <c r="IM13" i="5"/>
  <c r="IN13" i="5"/>
  <c r="IO13" i="5"/>
  <c r="IP13" i="5"/>
  <c r="IQ13" i="5"/>
  <c r="IR13" i="5"/>
  <c r="IS13" i="5"/>
  <c r="IT13" i="5"/>
  <c r="IU13" i="5"/>
  <c r="IV13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EE12" i="5"/>
  <c r="EF12" i="5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GD12" i="5"/>
  <c r="GE12" i="5"/>
  <c r="GF12" i="5"/>
  <c r="GG12" i="5"/>
  <c r="GH12" i="5"/>
  <c r="GI12" i="5"/>
  <c r="GJ12" i="5"/>
  <c r="GK12" i="5"/>
  <c r="GL12" i="5"/>
  <c r="GM12" i="5"/>
  <c r="GN12" i="5"/>
  <c r="GO12" i="5"/>
  <c r="GP12" i="5"/>
  <c r="GQ12" i="5"/>
  <c r="GR12" i="5"/>
  <c r="GS12" i="5"/>
  <c r="GT12" i="5"/>
  <c r="GU12" i="5"/>
  <c r="GV12" i="5"/>
  <c r="GW12" i="5"/>
  <c r="GX12" i="5"/>
  <c r="GY12" i="5"/>
  <c r="GZ12" i="5"/>
  <c r="HA12" i="5"/>
  <c r="HB12" i="5"/>
  <c r="HC12" i="5"/>
  <c r="HD12" i="5"/>
  <c r="HE12" i="5"/>
  <c r="HF12" i="5"/>
  <c r="HG12" i="5"/>
  <c r="HH12" i="5"/>
  <c r="HI12" i="5"/>
  <c r="HJ12" i="5"/>
  <c r="HK12" i="5"/>
  <c r="HL12" i="5"/>
  <c r="HM12" i="5"/>
  <c r="HN12" i="5"/>
  <c r="HO12" i="5"/>
  <c r="HP12" i="5"/>
  <c r="HQ12" i="5"/>
  <c r="HR12" i="5"/>
  <c r="HS12" i="5"/>
  <c r="HT12" i="5"/>
  <c r="HU12" i="5"/>
  <c r="HV12" i="5"/>
  <c r="HW12" i="5"/>
  <c r="HX12" i="5"/>
  <c r="HY12" i="5"/>
  <c r="HZ12" i="5"/>
  <c r="IA12" i="5"/>
  <c r="IB12" i="5"/>
  <c r="IC12" i="5"/>
  <c r="ID12" i="5"/>
  <c r="IE12" i="5"/>
  <c r="IF12" i="5"/>
  <c r="IG12" i="5"/>
  <c r="IH12" i="5"/>
  <c r="II12" i="5"/>
  <c r="IJ12" i="5"/>
  <c r="IK12" i="5"/>
  <c r="IL12" i="5"/>
  <c r="IM12" i="5"/>
  <c r="IN12" i="5"/>
  <c r="IO12" i="5"/>
  <c r="IP12" i="5"/>
  <c r="IQ12" i="5"/>
  <c r="IR12" i="5"/>
  <c r="IS12" i="5"/>
  <c r="IT12" i="5"/>
  <c r="IU12" i="5"/>
  <c r="IV12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HU11" i="5"/>
  <c r="HV11" i="5"/>
  <c r="HW11" i="5"/>
  <c r="HX11" i="5"/>
  <c r="HY11" i="5"/>
  <c r="HZ11" i="5"/>
  <c r="IA11" i="5"/>
  <c r="IB11" i="5"/>
  <c r="IC11" i="5"/>
  <c r="ID11" i="5"/>
  <c r="IE11" i="5"/>
  <c r="IF11" i="5"/>
  <c r="IG11" i="5"/>
  <c r="IH11" i="5"/>
  <c r="II11" i="5"/>
  <c r="IJ11" i="5"/>
  <c r="IK11" i="5"/>
  <c r="IL11" i="5"/>
  <c r="IM11" i="5"/>
  <c r="IN11" i="5"/>
  <c r="IO11" i="5"/>
  <c r="IP11" i="5"/>
  <c r="IQ11" i="5"/>
  <c r="IR11" i="5"/>
  <c r="IS11" i="5"/>
  <c r="IT11" i="5"/>
  <c r="IU11" i="5"/>
  <c r="IV11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GD10" i="5"/>
  <c r="GE10" i="5"/>
  <c r="GF10" i="5"/>
  <c r="GG10" i="5"/>
  <c r="GH10" i="5"/>
  <c r="GI10" i="5"/>
  <c r="GJ10" i="5"/>
  <c r="GK10" i="5"/>
  <c r="GL10" i="5"/>
  <c r="GM10" i="5"/>
  <c r="GN10" i="5"/>
  <c r="GO10" i="5"/>
  <c r="GP10" i="5"/>
  <c r="GQ10" i="5"/>
  <c r="GR10" i="5"/>
  <c r="GS10" i="5"/>
  <c r="GT10" i="5"/>
  <c r="GU10" i="5"/>
  <c r="GV10" i="5"/>
  <c r="GW10" i="5"/>
  <c r="GX10" i="5"/>
  <c r="GY10" i="5"/>
  <c r="GZ10" i="5"/>
  <c r="HA10" i="5"/>
  <c r="HB10" i="5"/>
  <c r="HC10" i="5"/>
  <c r="HD10" i="5"/>
  <c r="HE10" i="5"/>
  <c r="HF10" i="5"/>
  <c r="HG10" i="5"/>
  <c r="HH10" i="5"/>
  <c r="HI10" i="5"/>
  <c r="HJ10" i="5"/>
  <c r="HK10" i="5"/>
  <c r="HL10" i="5"/>
  <c r="HM10" i="5"/>
  <c r="HN10" i="5"/>
  <c r="HO10" i="5"/>
  <c r="HP10" i="5"/>
  <c r="HQ10" i="5"/>
  <c r="HR10" i="5"/>
  <c r="HS10" i="5"/>
  <c r="HT10" i="5"/>
  <c r="HU10" i="5"/>
  <c r="HV10" i="5"/>
  <c r="HW10" i="5"/>
  <c r="HX10" i="5"/>
  <c r="HY10" i="5"/>
  <c r="HZ10" i="5"/>
  <c r="IA10" i="5"/>
  <c r="IB10" i="5"/>
  <c r="IC10" i="5"/>
  <c r="ID10" i="5"/>
  <c r="IE10" i="5"/>
  <c r="IF10" i="5"/>
  <c r="IG10" i="5"/>
  <c r="IH10" i="5"/>
  <c r="II10" i="5"/>
  <c r="IJ10" i="5"/>
  <c r="IK10" i="5"/>
  <c r="IL10" i="5"/>
  <c r="IM10" i="5"/>
  <c r="IN10" i="5"/>
  <c r="IO10" i="5"/>
  <c r="IP10" i="5"/>
  <c r="IQ10" i="5"/>
  <c r="IR10" i="5"/>
  <c r="IS10" i="5"/>
  <c r="IT10" i="5"/>
  <c r="IU10" i="5"/>
  <c r="IV10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DG9" i="5"/>
  <c r="DH9" i="5"/>
  <c r="DI9" i="5"/>
  <c r="DJ9" i="5"/>
  <c r="DK9" i="5"/>
  <c r="DL9" i="5"/>
  <c r="DM9" i="5"/>
  <c r="DN9" i="5"/>
  <c r="DO9" i="5"/>
  <c r="DP9" i="5"/>
  <c r="DQ9" i="5"/>
  <c r="DR9" i="5"/>
  <c r="DS9" i="5"/>
  <c r="DT9" i="5"/>
  <c r="DU9" i="5"/>
  <c r="DV9" i="5"/>
  <c r="DW9" i="5"/>
  <c r="DX9" i="5"/>
  <c r="DY9" i="5"/>
  <c r="DZ9" i="5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GD9" i="5"/>
  <c r="GE9" i="5"/>
  <c r="GF9" i="5"/>
  <c r="GG9" i="5"/>
  <c r="GH9" i="5"/>
  <c r="GI9" i="5"/>
  <c r="GJ9" i="5"/>
  <c r="GK9" i="5"/>
  <c r="GL9" i="5"/>
  <c r="GM9" i="5"/>
  <c r="GN9" i="5"/>
  <c r="GO9" i="5"/>
  <c r="GP9" i="5"/>
  <c r="GQ9" i="5"/>
  <c r="GR9" i="5"/>
  <c r="GS9" i="5"/>
  <c r="GT9" i="5"/>
  <c r="GU9" i="5"/>
  <c r="GV9" i="5"/>
  <c r="GW9" i="5"/>
  <c r="GX9" i="5"/>
  <c r="GY9" i="5"/>
  <c r="GZ9" i="5"/>
  <c r="HA9" i="5"/>
  <c r="HB9" i="5"/>
  <c r="HC9" i="5"/>
  <c r="HD9" i="5"/>
  <c r="HE9" i="5"/>
  <c r="HF9" i="5"/>
  <c r="HG9" i="5"/>
  <c r="HH9" i="5"/>
  <c r="HI9" i="5"/>
  <c r="HJ9" i="5"/>
  <c r="HK9" i="5"/>
  <c r="HL9" i="5"/>
  <c r="HM9" i="5"/>
  <c r="HN9" i="5"/>
  <c r="HO9" i="5"/>
  <c r="HP9" i="5"/>
  <c r="HQ9" i="5"/>
  <c r="HR9" i="5"/>
  <c r="HS9" i="5"/>
  <c r="HT9" i="5"/>
  <c r="HU9" i="5"/>
  <c r="HV9" i="5"/>
  <c r="HW9" i="5"/>
  <c r="HX9" i="5"/>
  <c r="HY9" i="5"/>
  <c r="HZ9" i="5"/>
  <c r="IA9" i="5"/>
  <c r="IB9" i="5"/>
  <c r="IC9" i="5"/>
  <c r="ID9" i="5"/>
  <c r="IE9" i="5"/>
  <c r="IF9" i="5"/>
  <c r="IG9" i="5"/>
  <c r="IH9" i="5"/>
  <c r="II9" i="5"/>
  <c r="IJ9" i="5"/>
  <c r="IK9" i="5"/>
  <c r="IL9" i="5"/>
  <c r="IM9" i="5"/>
  <c r="IN9" i="5"/>
  <c r="IO9" i="5"/>
  <c r="IP9" i="5"/>
  <c r="IQ9" i="5"/>
  <c r="IR9" i="5"/>
  <c r="IS9" i="5"/>
  <c r="IT9" i="5"/>
  <c r="IU9" i="5"/>
  <c r="IV9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DG8" i="5"/>
  <c r="DH8" i="5"/>
  <c r="DI8" i="5"/>
  <c r="DJ8" i="5"/>
  <c r="DK8" i="5"/>
  <c r="DL8" i="5"/>
  <c r="DM8" i="5"/>
  <c r="DN8" i="5"/>
  <c r="DO8" i="5"/>
  <c r="DP8" i="5"/>
  <c r="DQ8" i="5"/>
  <c r="DR8" i="5"/>
  <c r="DS8" i="5"/>
  <c r="DT8" i="5"/>
  <c r="DU8" i="5"/>
  <c r="DV8" i="5"/>
  <c r="DW8" i="5"/>
  <c r="DX8" i="5"/>
  <c r="DY8" i="5"/>
  <c r="DZ8" i="5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GD8" i="5"/>
  <c r="GE8" i="5"/>
  <c r="GF8" i="5"/>
  <c r="GG8" i="5"/>
  <c r="GH8" i="5"/>
  <c r="GI8" i="5"/>
  <c r="GJ8" i="5"/>
  <c r="GK8" i="5"/>
  <c r="GL8" i="5"/>
  <c r="GM8" i="5"/>
  <c r="GN8" i="5"/>
  <c r="GO8" i="5"/>
  <c r="GP8" i="5"/>
  <c r="GQ8" i="5"/>
  <c r="GR8" i="5"/>
  <c r="GS8" i="5"/>
  <c r="GT8" i="5"/>
  <c r="GU8" i="5"/>
  <c r="GV8" i="5"/>
  <c r="GW8" i="5"/>
  <c r="GX8" i="5"/>
  <c r="GY8" i="5"/>
  <c r="GZ8" i="5"/>
  <c r="HA8" i="5"/>
  <c r="HB8" i="5"/>
  <c r="HC8" i="5"/>
  <c r="HD8" i="5"/>
  <c r="HE8" i="5"/>
  <c r="HF8" i="5"/>
  <c r="HG8" i="5"/>
  <c r="HH8" i="5"/>
  <c r="HI8" i="5"/>
  <c r="HJ8" i="5"/>
  <c r="HK8" i="5"/>
  <c r="HL8" i="5"/>
  <c r="HM8" i="5"/>
  <c r="HN8" i="5"/>
  <c r="HO8" i="5"/>
  <c r="HP8" i="5"/>
  <c r="HQ8" i="5"/>
  <c r="HR8" i="5"/>
  <c r="HS8" i="5"/>
  <c r="HT8" i="5"/>
  <c r="HU8" i="5"/>
  <c r="HV8" i="5"/>
  <c r="HW8" i="5"/>
  <c r="HX8" i="5"/>
  <c r="HY8" i="5"/>
  <c r="HZ8" i="5"/>
  <c r="IA8" i="5"/>
  <c r="IB8" i="5"/>
  <c r="IC8" i="5"/>
  <c r="ID8" i="5"/>
  <c r="IE8" i="5"/>
  <c r="IF8" i="5"/>
  <c r="IG8" i="5"/>
  <c r="IH8" i="5"/>
  <c r="II8" i="5"/>
  <c r="IJ8" i="5"/>
  <c r="IK8" i="5"/>
  <c r="IL8" i="5"/>
  <c r="IM8" i="5"/>
  <c r="IN8" i="5"/>
  <c r="IO8" i="5"/>
  <c r="IP8" i="5"/>
  <c r="IQ8" i="5"/>
  <c r="IR8" i="5"/>
  <c r="IS8" i="5"/>
  <c r="IT8" i="5"/>
  <c r="IU8" i="5"/>
  <c r="IV8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GD7" i="5"/>
  <c r="GE7" i="5"/>
  <c r="GF7" i="5"/>
  <c r="GG7" i="5"/>
  <c r="GH7" i="5"/>
  <c r="GI7" i="5"/>
  <c r="GJ7" i="5"/>
  <c r="GK7" i="5"/>
  <c r="GL7" i="5"/>
  <c r="GM7" i="5"/>
  <c r="GN7" i="5"/>
  <c r="GO7" i="5"/>
  <c r="GP7" i="5"/>
  <c r="GQ7" i="5"/>
  <c r="GR7" i="5"/>
  <c r="GS7" i="5"/>
  <c r="GT7" i="5"/>
  <c r="GU7" i="5"/>
  <c r="GV7" i="5"/>
  <c r="GW7" i="5"/>
  <c r="GX7" i="5"/>
  <c r="GY7" i="5"/>
  <c r="GZ7" i="5"/>
  <c r="HA7" i="5"/>
  <c r="HB7" i="5"/>
  <c r="HC7" i="5"/>
  <c r="HD7" i="5"/>
  <c r="HE7" i="5"/>
  <c r="HF7" i="5"/>
  <c r="HG7" i="5"/>
  <c r="HH7" i="5"/>
  <c r="HI7" i="5"/>
  <c r="HJ7" i="5"/>
  <c r="HK7" i="5"/>
  <c r="HL7" i="5"/>
  <c r="HM7" i="5"/>
  <c r="HN7" i="5"/>
  <c r="HO7" i="5"/>
  <c r="HP7" i="5"/>
  <c r="HQ7" i="5"/>
  <c r="HR7" i="5"/>
  <c r="HS7" i="5"/>
  <c r="HT7" i="5"/>
  <c r="HU7" i="5"/>
  <c r="HV7" i="5"/>
  <c r="HW7" i="5"/>
  <c r="HX7" i="5"/>
  <c r="HY7" i="5"/>
  <c r="HZ7" i="5"/>
  <c r="IA7" i="5"/>
  <c r="IB7" i="5"/>
  <c r="IC7" i="5"/>
  <c r="ID7" i="5"/>
  <c r="IE7" i="5"/>
  <c r="IF7" i="5"/>
  <c r="IG7" i="5"/>
  <c r="IH7" i="5"/>
  <c r="II7" i="5"/>
  <c r="IJ7" i="5"/>
  <c r="IK7" i="5"/>
  <c r="IL7" i="5"/>
  <c r="IM7" i="5"/>
  <c r="IN7" i="5"/>
  <c r="IO7" i="5"/>
  <c r="IP7" i="5"/>
  <c r="IQ7" i="5"/>
  <c r="IR7" i="5"/>
  <c r="IS7" i="5"/>
  <c r="IT7" i="5"/>
  <c r="IU7" i="5"/>
  <c r="IV7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N6" i="5"/>
  <c r="DO6" i="5"/>
  <c r="DP6" i="5"/>
  <c r="DQ6" i="5"/>
  <c r="DR6" i="5"/>
  <c r="DS6" i="5"/>
  <c r="DT6" i="5"/>
  <c r="DU6" i="5"/>
  <c r="DV6" i="5"/>
  <c r="DW6" i="5"/>
  <c r="DX6" i="5"/>
  <c r="DY6" i="5"/>
  <c r="DZ6" i="5"/>
  <c r="EA6" i="5"/>
  <c r="EB6" i="5"/>
  <c r="EC6" i="5"/>
  <c r="ED6" i="5"/>
  <c r="EE6" i="5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GD6" i="5"/>
  <c r="GE6" i="5"/>
  <c r="GF6" i="5"/>
  <c r="GG6" i="5"/>
  <c r="GH6" i="5"/>
  <c r="GI6" i="5"/>
  <c r="GJ6" i="5"/>
  <c r="GK6" i="5"/>
  <c r="GL6" i="5"/>
  <c r="GM6" i="5"/>
  <c r="GN6" i="5"/>
  <c r="GO6" i="5"/>
  <c r="GP6" i="5"/>
  <c r="GQ6" i="5"/>
  <c r="GR6" i="5"/>
  <c r="GS6" i="5"/>
  <c r="GT6" i="5"/>
  <c r="GU6" i="5"/>
  <c r="GV6" i="5"/>
  <c r="GW6" i="5"/>
  <c r="GX6" i="5"/>
  <c r="GY6" i="5"/>
  <c r="GZ6" i="5"/>
  <c r="HA6" i="5"/>
  <c r="HB6" i="5"/>
  <c r="HC6" i="5"/>
  <c r="HD6" i="5"/>
  <c r="HE6" i="5"/>
  <c r="HF6" i="5"/>
  <c r="HG6" i="5"/>
  <c r="HH6" i="5"/>
  <c r="HI6" i="5"/>
  <c r="HJ6" i="5"/>
  <c r="HK6" i="5"/>
  <c r="HL6" i="5"/>
  <c r="HM6" i="5"/>
  <c r="HN6" i="5"/>
  <c r="HO6" i="5"/>
  <c r="HP6" i="5"/>
  <c r="HQ6" i="5"/>
  <c r="HR6" i="5"/>
  <c r="HS6" i="5"/>
  <c r="HT6" i="5"/>
  <c r="HU6" i="5"/>
  <c r="HV6" i="5"/>
  <c r="HW6" i="5"/>
  <c r="HX6" i="5"/>
  <c r="HY6" i="5"/>
  <c r="HZ6" i="5"/>
  <c r="IA6" i="5"/>
  <c r="IB6" i="5"/>
  <c r="IC6" i="5"/>
  <c r="ID6" i="5"/>
  <c r="IE6" i="5"/>
  <c r="IF6" i="5"/>
  <c r="IG6" i="5"/>
  <c r="IH6" i="5"/>
  <c r="II6" i="5"/>
  <c r="IJ6" i="5"/>
  <c r="IK6" i="5"/>
  <c r="IL6" i="5"/>
  <c r="IM6" i="5"/>
  <c r="IN6" i="5"/>
  <c r="IO6" i="5"/>
  <c r="IP6" i="5"/>
  <c r="IQ6" i="5"/>
  <c r="IR6" i="5"/>
  <c r="IS6" i="5"/>
  <c r="IT6" i="5"/>
  <c r="IU6" i="5"/>
  <c r="IV6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GD5" i="5"/>
  <c r="GE5" i="5"/>
  <c r="GF5" i="5"/>
  <c r="GG5" i="5"/>
  <c r="GH5" i="5"/>
  <c r="GI5" i="5"/>
  <c r="GJ5" i="5"/>
  <c r="GK5" i="5"/>
  <c r="GL5" i="5"/>
  <c r="GM5" i="5"/>
  <c r="GN5" i="5"/>
  <c r="GO5" i="5"/>
  <c r="GP5" i="5"/>
  <c r="GQ5" i="5"/>
  <c r="GR5" i="5"/>
  <c r="GS5" i="5"/>
  <c r="GT5" i="5"/>
  <c r="GU5" i="5"/>
  <c r="GV5" i="5"/>
  <c r="GW5" i="5"/>
  <c r="GX5" i="5"/>
  <c r="GY5" i="5"/>
  <c r="GZ5" i="5"/>
  <c r="HA5" i="5"/>
  <c r="HB5" i="5"/>
  <c r="HC5" i="5"/>
  <c r="HD5" i="5"/>
  <c r="HE5" i="5"/>
  <c r="HF5" i="5"/>
  <c r="HG5" i="5"/>
  <c r="HH5" i="5"/>
  <c r="HI5" i="5"/>
  <c r="HJ5" i="5"/>
  <c r="HK5" i="5"/>
  <c r="HL5" i="5"/>
  <c r="HM5" i="5"/>
  <c r="HN5" i="5"/>
  <c r="HO5" i="5"/>
  <c r="HP5" i="5"/>
  <c r="HQ5" i="5"/>
  <c r="HR5" i="5"/>
  <c r="HS5" i="5"/>
  <c r="HT5" i="5"/>
  <c r="HU5" i="5"/>
  <c r="HV5" i="5"/>
  <c r="HW5" i="5"/>
  <c r="HX5" i="5"/>
  <c r="HY5" i="5"/>
  <c r="HZ5" i="5"/>
  <c r="IA5" i="5"/>
  <c r="IB5" i="5"/>
  <c r="IC5" i="5"/>
  <c r="ID5" i="5"/>
  <c r="IE5" i="5"/>
  <c r="IF5" i="5"/>
  <c r="IG5" i="5"/>
  <c r="IH5" i="5"/>
  <c r="II5" i="5"/>
  <c r="IJ5" i="5"/>
  <c r="IK5" i="5"/>
  <c r="IL5" i="5"/>
  <c r="IM5" i="5"/>
  <c r="IN5" i="5"/>
  <c r="IO5" i="5"/>
  <c r="IP5" i="5"/>
  <c r="IQ5" i="5"/>
  <c r="IR5" i="5"/>
  <c r="IS5" i="5"/>
  <c r="IT5" i="5"/>
  <c r="IU5" i="5"/>
  <c r="IV5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GT4" i="5"/>
  <c r="GU4" i="5"/>
  <c r="GV4" i="5"/>
  <c r="GW4" i="5"/>
  <c r="GX4" i="5"/>
  <c r="GY4" i="5"/>
  <c r="GZ4" i="5"/>
  <c r="HA4" i="5"/>
  <c r="HB4" i="5"/>
  <c r="HC4" i="5"/>
  <c r="HD4" i="5"/>
  <c r="HE4" i="5"/>
  <c r="HF4" i="5"/>
  <c r="HG4" i="5"/>
  <c r="HH4" i="5"/>
  <c r="HI4" i="5"/>
  <c r="HJ4" i="5"/>
  <c r="HK4" i="5"/>
  <c r="HL4" i="5"/>
  <c r="HM4" i="5"/>
  <c r="HN4" i="5"/>
  <c r="HO4" i="5"/>
  <c r="HP4" i="5"/>
  <c r="HQ4" i="5"/>
  <c r="HR4" i="5"/>
  <c r="HS4" i="5"/>
  <c r="HT4" i="5"/>
  <c r="HU4" i="5"/>
  <c r="HV4" i="5"/>
  <c r="HW4" i="5"/>
  <c r="HX4" i="5"/>
  <c r="HY4" i="5"/>
  <c r="HZ4" i="5"/>
  <c r="IA4" i="5"/>
  <c r="IB4" i="5"/>
  <c r="IC4" i="5"/>
  <c r="ID4" i="5"/>
  <c r="IE4" i="5"/>
  <c r="IF4" i="5"/>
  <c r="IG4" i="5"/>
  <c r="IH4" i="5"/>
  <c r="II4" i="5"/>
  <c r="IJ4" i="5"/>
  <c r="IK4" i="5"/>
  <c r="IL4" i="5"/>
  <c r="IM4" i="5"/>
  <c r="IN4" i="5"/>
  <c r="IO4" i="5"/>
  <c r="IP4" i="5"/>
  <c r="IQ4" i="5"/>
  <c r="IR4" i="5"/>
  <c r="IS4" i="5"/>
  <c r="IT4" i="5"/>
  <c r="IU4" i="5"/>
  <c r="IV4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T3" i="5"/>
  <c r="AU3" i="5"/>
  <c r="AV3" i="5"/>
  <c r="AW3" i="5"/>
  <c r="AX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CS3" i="5"/>
  <c r="CT3" i="5"/>
  <c r="CU3" i="5"/>
  <c r="CV3" i="5"/>
  <c r="CW3" i="5"/>
  <c r="CX3" i="5"/>
  <c r="CY3" i="5"/>
  <c r="CZ3" i="5"/>
  <c r="DA3" i="5"/>
  <c r="DB3" i="5"/>
  <c r="DC3" i="5"/>
  <c r="DD3" i="5"/>
  <c r="DE3" i="5"/>
  <c r="DF3" i="5"/>
  <c r="DG3" i="5"/>
  <c r="DH3" i="5"/>
  <c r="DI3" i="5"/>
  <c r="DJ3" i="5"/>
  <c r="DK3" i="5"/>
  <c r="DL3" i="5"/>
  <c r="DM3" i="5"/>
  <c r="DN3" i="5"/>
  <c r="DO3" i="5"/>
  <c r="DP3" i="5"/>
  <c r="DQ3" i="5"/>
  <c r="DR3" i="5"/>
  <c r="DS3" i="5"/>
  <c r="DT3" i="5"/>
  <c r="DU3" i="5"/>
  <c r="DV3" i="5"/>
  <c r="DW3" i="5"/>
  <c r="DX3" i="5"/>
  <c r="DY3" i="5"/>
  <c r="DZ3" i="5"/>
  <c r="EB3" i="5"/>
  <c r="EC3" i="5"/>
  <c r="ED3" i="5"/>
  <c r="EE3" i="5"/>
  <c r="EF3" i="5"/>
  <c r="EG3" i="5"/>
  <c r="EH3" i="5"/>
  <c r="EI3" i="5"/>
  <c r="EJ3" i="5"/>
  <c r="EK3" i="5"/>
  <c r="EL3" i="5"/>
  <c r="EM3" i="5"/>
  <c r="EN3" i="5"/>
  <c r="EO3" i="5"/>
  <c r="EP3" i="5"/>
  <c r="EQ3" i="5"/>
  <c r="ER3" i="5"/>
  <c r="ES3" i="5"/>
  <c r="ET3" i="5"/>
  <c r="EU3" i="5"/>
  <c r="EV3" i="5"/>
  <c r="EX3" i="5"/>
  <c r="EY3" i="5"/>
  <c r="EZ3" i="5"/>
  <c r="FA3" i="5"/>
  <c r="FB3" i="5"/>
  <c r="FC3" i="5"/>
  <c r="FD3" i="5"/>
  <c r="FE3" i="5"/>
  <c r="FF3" i="5"/>
  <c r="FG3" i="5"/>
  <c r="FH3" i="5"/>
  <c r="FI3" i="5"/>
  <c r="FJ3" i="5"/>
  <c r="FK3" i="5"/>
  <c r="FL3" i="5"/>
  <c r="FM3" i="5"/>
  <c r="FN3" i="5"/>
  <c r="FO3" i="5"/>
  <c r="FP3" i="5"/>
  <c r="FQ3" i="5"/>
  <c r="FR3" i="5"/>
  <c r="FS3" i="5"/>
  <c r="FT3" i="5"/>
  <c r="FU3" i="5"/>
  <c r="FV3" i="5"/>
  <c r="FW3" i="5"/>
  <c r="FX3" i="5"/>
  <c r="FY3" i="5"/>
  <c r="FZ3" i="5"/>
  <c r="GA3" i="5"/>
  <c r="GB3" i="5"/>
  <c r="GC3" i="5"/>
  <c r="GD3" i="5"/>
  <c r="GE3" i="5"/>
  <c r="GF3" i="5"/>
  <c r="GG3" i="5"/>
  <c r="GH3" i="5"/>
  <c r="GI3" i="5"/>
  <c r="GJ3" i="5"/>
  <c r="GK3" i="5"/>
  <c r="GL3" i="5"/>
  <c r="GM3" i="5"/>
  <c r="GN3" i="5"/>
  <c r="GO3" i="5"/>
  <c r="GP3" i="5"/>
  <c r="GQ3" i="5"/>
  <c r="GR3" i="5"/>
  <c r="GS3" i="5"/>
  <c r="GT3" i="5"/>
  <c r="GU3" i="5"/>
  <c r="GV3" i="5"/>
  <c r="GW3" i="5"/>
  <c r="GX3" i="5"/>
  <c r="GY3" i="5"/>
  <c r="GZ3" i="5"/>
  <c r="HA3" i="5"/>
  <c r="HB3" i="5"/>
  <c r="HC3" i="5"/>
  <c r="HD3" i="5"/>
  <c r="HE3" i="5"/>
  <c r="HF3" i="5"/>
  <c r="HG3" i="5"/>
  <c r="HH3" i="5"/>
  <c r="HI3" i="5"/>
  <c r="HJ3" i="5"/>
  <c r="HK3" i="5"/>
  <c r="HL3" i="5"/>
  <c r="HM3" i="5"/>
  <c r="HN3" i="5"/>
  <c r="HO3" i="5"/>
  <c r="HP3" i="5"/>
  <c r="HQ3" i="5"/>
  <c r="HR3" i="5"/>
  <c r="HS3" i="5"/>
  <c r="HT3" i="5"/>
  <c r="HU3" i="5"/>
  <c r="HV3" i="5"/>
  <c r="HW3" i="5"/>
  <c r="HX3" i="5"/>
  <c r="HY3" i="5"/>
  <c r="HZ3" i="5"/>
  <c r="IA3" i="5"/>
  <c r="IB3" i="5"/>
  <c r="IC3" i="5"/>
  <c r="ID3" i="5"/>
  <c r="IE3" i="5"/>
  <c r="IF3" i="5"/>
  <c r="IG3" i="5"/>
  <c r="IH3" i="5"/>
  <c r="II3" i="5"/>
  <c r="IJ3" i="5"/>
  <c r="IK3" i="5"/>
  <c r="IL3" i="5"/>
  <c r="IM3" i="5"/>
  <c r="IN3" i="5"/>
  <c r="IO3" i="5"/>
  <c r="IP3" i="5"/>
  <c r="IQ3" i="5"/>
  <c r="IR3" i="5"/>
  <c r="IS3" i="5"/>
  <c r="IT3" i="5"/>
  <c r="IU3" i="5"/>
  <c r="IV3" i="5"/>
  <c r="A2" i="5"/>
  <c r="B2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DA2" i="5"/>
  <c r="DB2" i="5"/>
  <c r="DC2" i="5"/>
  <c r="DD2" i="5"/>
  <c r="DE2" i="5"/>
  <c r="DF2" i="5"/>
  <c r="DG2" i="5"/>
  <c r="DH2" i="5"/>
  <c r="DI2" i="5"/>
  <c r="DJ2" i="5"/>
  <c r="DK2" i="5"/>
  <c r="DL2" i="5"/>
  <c r="DM2" i="5"/>
  <c r="DN2" i="5"/>
  <c r="DO2" i="5"/>
  <c r="DP2" i="5"/>
  <c r="DQ2" i="5"/>
  <c r="DR2" i="5"/>
  <c r="DS2" i="5"/>
  <c r="DT2" i="5"/>
  <c r="DU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P2" i="5"/>
  <c r="ES2" i="5"/>
  <c r="ET2" i="5"/>
  <c r="EU2" i="5"/>
  <c r="EV2" i="5"/>
  <c r="EW2" i="5"/>
  <c r="EX2" i="5"/>
  <c r="EY2" i="5"/>
  <c r="EZ2" i="5"/>
  <c r="FA2" i="5"/>
  <c r="FB2" i="5"/>
  <c r="FC2" i="5"/>
  <c r="FD2" i="5"/>
  <c r="FE2" i="5"/>
  <c r="FF2" i="5"/>
  <c r="FG2" i="5"/>
  <c r="FH2" i="5"/>
  <c r="FI2" i="5"/>
  <c r="FJ2" i="5"/>
  <c r="FO2" i="5"/>
  <c r="FP2" i="5"/>
  <c r="FQ2" i="5"/>
  <c r="FR2" i="5"/>
  <c r="FS2" i="5"/>
  <c r="FT2" i="5"/>
  <c r="FU2" i="5"/>
  <c r="FV2" i="5"/>
  <c r="FW2" i="5"/>
  <c r="FX2" i="5"/>
  <c r="FY2" i="5"/>
  <c r="FZ2" i="5"/>
  <c r="GA2" i="5"/>
  <c r="GB2" i="5"/>
  <c r="GC2" i="5"/>
  <c r="GD2" i="5"/>
  <c r="GE2" i="5"/>
  <c r="GF2" i="5"/>
  <c r="GG2" i="5"/>
  <c r="GH2" i="5"/>
  <c r="GI2" i="5"/>
  <c r="GJ2" i="5"/>
  <c r="GK2" i="5"/>
  <c r="GL2" i="5"/>
  <c r="GM2" i="5"/>
  <c r="GN2" i="5"/>
  <c r="GO2" i="5"/>
  <c r="GP2" i="5"/>
  <c r="GQ2" i="5"/>
  <c r="GR2" i="5"/>
  <c r="GS2" i="5"/>
  <c r="GU2" i="5"/>
  <c r="GV2" i="5"/>
  <c r="GW2" i="5"/>
  <c r="GX2" i="5"/>
  <c r="GY2" i="5"/>
  <c r="GZ2" i="5"/>
  <c r="HA2" i="5"/>
  <c r="HB2" i="5"/>
  <c r="HC2" i="5"/>
  <c r="HD2" i="5"/>
  <c r="HE2" i="5"/>
  <c r="HF2" i="5"/>
  <c r="HG2" i="5"/>
  <c r="HH2" i="5"/>
  <c r="HI2" i="5"/>
  <c r="HJ2" i="5"/>
  <c r="HK2" i="5"/>
  <c r="HL2" i="5"/>
  <c r="HM2" i="5"/>
  <c r="HN2" i="5"/>
  <c r="HO2" i="5"/>
  <c r="HP2" i="5"/>
  <c r="HQ2" i="5"/>
  <c r="HR2" i="5"/>
  <c r="HS2" i="5"/>
  <c r="HT2" i="5"/>
  <c r="HU2" i="5"/>
  <c r="HV2" i="5"/>
  <c r="HW2" i="5"/>
  <c r="HX2" i="5"/>
  <c r="HY2" i="5"/>
  <c r="HZ2" i="5"/>
  <c r="IA2" i="5"/>
  <c r="IB2" i="5"/>
  <c r="IC2" i="5"/>
  <c r="ID2" i="5"/>
  <c r="IE2" i="5"/>
  <c r="IF2" i="5"/>
  <c r="IG2" i="5"/>
  <c r="IH2" i="5"/>
  <c r="II2" i="5"/>
  <c r="IJ2" i="5"/>
  <c r="IK2" i="5"/>
  <c r="IL2" i="5"/>
  <c r="IM2" i="5"/>
  <c r="IN2" i="5"/>
  <c r="IO2" i="5"/>
  <c r="IP2" i="5"/>
  <c r="IQ2" i="5"/>
  <c r="IR2" i="5"/>
  <c r="IS2" i="5"/>
  <c r="IT2" i="5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AH1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N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S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Y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E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C1" i="5"/>
  <c r="GD1" i="5"/>
  <c r="GE1" i="5"/>
  <c r="GF1" i="5"/>
  <c r="GG1" i="5"/>
  <c r="GH1" i="5"/>
  <c r="GI1" i="5"/>
  <c r="GJ1" i="5"/>
  <c r="GK1" i="5"/>
  <c r="GL1" i="5"/>
  <c r="GM1" i="5"/>
  <c r="GN1" i="5"/>
  <c r="GO1" i="5"/>
  <c r="GP1" i="5"/>
  <c r="GQ1" i="5"/>
  <c r="GR1" i="5"/>
  <c r="GS1" i="5"/>
  <c r="GT1" i="5"/>
  <c r="GU1" i="5"/>
  <c r="GV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P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U1" i="5"/>
  <c r="IV1" i="5"/>
  <c r="F19" i="1" l="1"/>
  <c r="F29" i="1"/>
  <c r="E39" i="1"/>
  <c r="G29" i="1" l="1"/>
  <c r="BH2" i="5" s="1"/>
  <c r="BG2" i="5"/>
  <c r="G19" i="1"/>
  <c r="GX1" i="5" s="1"/>
  <c r="GW1" i="5"/>
  <c r="F37" i="1"/>
  <c r="EO2" i="5"/>
  <c r="E47" i="1"/>
  <c r="FL2" i="5"/>
  <c r="D39" i="1"/>
  <c r="G37" i="1" l="1"/>
  <c r="ER2" i="5" s="1"/>
  <c r="EQ2" i="5"/>
  <c r="D59" i="1"/>
  <c r="IV2" i="5"/>
  <c r="F39" i="1"/>
  <c r="FK2" i="5"/>
  <c r="D47" i="1"/>
  <c r="D61" i="1" l="1"/>
  <c r="EW3" i="5" s="1"/>
  <c r="EA3" i="5"/>
  <c r="F47" i="1"/>
  <c r="IU2" i="5"/>
  <c r="G39" i="1"/>
  <c r="FN2" i="5" s="1"/>
  <c r="FM2" i="5"/>
  <c r="G47" i="1" l="1"/>
  <c r="B3" i="5" s="1"/>
  <c r="A3" i="5"/>
</calcChain>
</file>

<file path=xl/sharedStrings.xml><?xml version="1.0" encoding="utf-8"?>
<sst xmlns="http://schemas.openxmlformats.org/spreadsheetml/2006/main" count="67" uniqueCount="66">
  <si>
    <t>TEAM :</t>
  </si>
  <si>
    <t>The figures are expressed in (EUR, USD, or other) :</t>
  </si>
  <si>
    <t>EUR</t>
  </si>
  <si>
    <t>The figures for the previous year are those for the (budget/projection/estimate):</t>
  </si>
  <si>
    <t>Ref. instructions</t>
  </si>
  <si>
    <t>Previous year</t>
  </si>
  <si>
    <t>Difference</t>
  </si>
  <si>
    <t>% difference</t>
  </si>
  <si>
    <r>
      <t xml:space="preserve">Comment
</t>
    </r>
    <r>
      <rPr>
        <b/>
        <sz val="8"/>
        <color indexed="10"/>
        <rFont val="Calibri"/>
        <family val="2"/>
        <scheme val="minor"/>
      </rPr>
      <t>3</t>
    </r>
  </si>
  <si>
    <t>Income</t>
  </si>
  <si>
    <t>Sponsors (cash)</t>
  </si>
  <si>
    <t>new main sponsor for a period of 3 years</t>
  </si>
  <si>
    <t>Gifts, subsidies and other (cash)</t>
  </si>
  <si>
    <t>Services in kind</t>
  </si>
  <si>
    <t>for the record only</t>
  </si>
  <si>
    <t>cycles provided by XXX cycling</t>
  </si>
  <si>
    <r>
      <t xml:space="preserve">Other income    </t>
    </r>
    <r>
      <rPr>
        <i/>
        <sz val="8"/>
        <rFont val="Calibri"/>
        <family val="2"/>
        <scheme val="minor"/>
      </rPr>
      <t>(specify)</t>
    </r>
  </si>
  <si>
    <t>merchandising</t>
  </si>
  <si>
    <t>Total income</t>
  </si>
  <si>
    <t>Expenditure</t>
  </si>
  <si>
    <t>Riders' salaries and expenses</t>
  </si>
  <si>
    <t>Salaries and expenses for other staff</t>
  </si>
  <si>
    <t>Other pay (bonuses, etc.)</t>
  </si>
  <si>
    <t>Social charges</t>
  </si>
  <si>
    <t>Transport costs repaid</t>
  </si>
  <si>
    <t>Total staff expenses</t>
  </si>
  <si>
    <t>Insurance</t>
  </si>
  <si>
    <t>Competition expenses</t>
  </si>
  <si>
    <t xml:space="preserve">Vehicle expenses </t>
  </si>
  <si>
    <t>General and administration expenses</t>
  </si>
  <si>
    <t>Subscriptions, licences, etc.</t>
  </si>
  <si>
    <t>Total other expenditure</t>
  </si>
  <si>
    <t>Gross operating surplus</t>
  </si>
  <si>
    <t>Financial expenses (-)</t>
  </si>
  <si>
    <t>Financial income (+)</t>
  </si>
  <si>
    <t>Depreciation (-)</t>
  </si>
  <si>
    <t>Allocation to reserves (-)</t>
  </si>
  <si>
    <t>Taken from reserves (+)</t>
  </si>
  <si>
    <t>Net result</t>
  </si>
  <si>
    <t>Other information</t>
  </si>
  <si>
    <t>Comments and information on finance</t>
  </si>
  <si>
    <t>Planned investments</t>
  </si>
  <si>
    <t>Equipment (cycles, workshop, etc.)</t>
  </si>
  <si>
    <t>financed wholly by partners (not included in budget)</t>
  </si>
  <si>
    <t>Vehicles (cars, bus, etc.)</t>
  </si>
  <si>
    <t>leasing, the cost of annuities is included in the budget</t>
  </si>
  <si>
    <t>Miscellaneous</t>
  </si>
  <si>
    <t>Total</t>
  </si>
  <si>
    <t>Changes in capital and reserves (incorporated bodies)</t>
  </si>
  <si>
    <t>See above</t>
  </si>
  <si>
    <t>Other movements</t>
  </si>
  <si>
    <t>For example contribution from owner (+) or dividend to shareholder (-)</t>
  </si>
  <si>
    <t>AAAAAHl//RU=</t>
  </si>
  <si>
    <t>AAAAAHl//RY=</t>
  </si>
  <si>
    <t>AAAAAHl//Rc=</t>
  </si>
  <si>
    <t>AAAAAD+3/wA=</t>
  </si>
  <si>
    <t>AAAAAD+3/wE=</t>
  </si>
  <si>
    <t>AAAAAH/1/gA=</t>
  </si>
  <si>
    <t>AAAAAH/1/gE=</t>
  </si>
  <si>
    <t>2026 Budget</t>
  </si>
  <si>
    <t>2026
budget</t>
  </si>
  <si>
    <t>Estimated result for 2025
(forecast or budget)</t>
  </si>
  <si>
    <t>Deficit following losses in 2024</t>
  </si>
  <si>
    <t>Will be covered by the 2026 result</t>
  </si>
  <si>
    <t>Projected year end total 2025</t>
  </si>
  <si>
    <t>Capital and reserves as per last annual accounts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</si>
</sst>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\+\ #,##0;\ \-\ #,##0"/>
    <numFmt numFmtId="167" formatCode="\+\ 0.0\ %;\ \-\ 0.0\ %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</font>
    <font>
      <i/>
      <sz val="10"/>
      <name val="Arial"/>
      <family val="2"/>
    </font>
    <font>
      <sz val="8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u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hair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hair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hair">
        <color indexed="64"/>
      </bottom>
      <diagonal/>
    </border>
    <border>
      <left/>
      <right style="thin">
        <color theme="4" tint="-0.249977111117893"/>
      </right>
      <top style="hair">
        <color indexed="64"/>
      </top>
      <bottom/>
      <diagonal/>
    </border>
    <border>
      <left/>
      <right style="thin">
        <color theme="4" tint="-0.499984740745262"/>
      </right>
      <top style="hair">
        <color indexed="64"/>
      </top>
      <bottom/>
      <diagonal/>
    </border>
    <border>
      <left/>
      <right style="thin">
        <color theme="4" tint="-0.499984740745262"/>
      </right>
      <top/>
      <bottom style="hair">
        <color indexed="64"/>
      </bottom>
      <diagonal/>
    </border>
    <border>
      <left/>
      <right style="thin">
        <color theme="4" tint="-0.499984740745262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top" wrapText="1"/>
    </xf>
    <xf numFmtId="0" fontId="8" fillId="2" borderId="13" xfId="0" applyFont="1" applyFill="1" applyBorder="1" applyAlignment="1">
      <alignment vertical="top" wrapText="1"/>
    </xf>
    <xf numFmtId="166" fontId="7" fillId="2" borderId="1" xfId="0" applyNumberFormat="1" applyFont="1" applyFill="1" applyBorder="1" applyAlignment="1">
      <alignment vertical="top" wrapText="1"/>
    </xf>
    <xf numFmtId="167" fontId="7" fillId="2" borderId="14" xfId="0" applyNumberFormat="1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165" fontId="7" fillId="4" borderId="2" xfId="1" applyNumberFormat="1" applyFont="1" applyFill="1" applyBorder="1" applyAlignment="1">
      <alignment horizontal="right" vertical="top" wrapText="1"/>
    </xf>
    <xf numFmtId="165" fontId="7" fillId="2" borderId="15" xfId="1" applyNumberFormat="1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vertical="top" wrapText="1"/>
    </xf>
    <xf numFmtId="166" fontId="7" fillId="2" borderId="3" xfId="0" applyNumberFormat="1" applyFont="1" applyFill="1" applyBorder="1" applyAlignment="1">
      <alignment vertical="top" wrapText="1"/>
    </xf>
    <xf numFmtId="167" fontId="7" fillId="2" borderId="16" xfId="0" applyNumberFormat="1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166" fontId="8" fillId="4" borderId="8" xfId="0" applyNumberFormat="1" applyFont="1" applyFill="1" applyBorder="1" applyAlignment="1">
      <alignment vertical="top" wrapText="1"/>
    </xf>
    <xf numFmtId="167" fontId="8" fillId="4" borderId="10" xfId="0" applyNumberFormat="1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7" fillId="2" borderId="13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167" fontId="7" fillId="2" borderId="13" xfId="0" applyNumberFormat="1" applyFont="1" applyFill="1" applyBorder="1" applyAlignment="1">
      <alignment vertical="top" wrapText="1"/>
    </xf>
    <xf numFmtId="166" fontId="7" fillId="2" borderId="0" xfId="0" applyNumberFormat="1" applyFont="1" applyFill="1" applyAlignment="1">
      <alignment vertical="top" wrapText="1"/>
    </xf>
    <xf numFmtId="0" fontId="7" fillId="4" borderId="10" xfId="0" applyFont="1" applyFill="1" applyBorder="1" applyAlignment="1">
      <alignment vertical="top" wrapText="1"/>
    </xf>
    <xf numFmtId="166" fontId="8" fillId="2" borderId="1" xfId="0" applyNumberFormat="1" applyFont="1" applyFill="1" applyBorder="1" applyAlignment="1">
      <alignment vertical="top" wrapText="1"/>
    </xf>
    <xf numFmtId="167" fontId="8" fillId="2" borderId="14" xfId="0" applyNumberFormat="1" applyFont="1" applyFill="1" applyBorder="1" applyAlignment="1">
      <alignment vertical="top" wrapText="1"/>
    </xf>
    <xf numFmtId="166" fontId="7" fillId="2" borderId="12" xfId="0" applyNumberFormat="1" applyFont="1" applyFill="1" applyBorder="1" applyAlignment="1">
      <alignment vertical="top" wrapText="1"/>
    </xf>
    <xf numFmtId="167" fontId="7" fillId="2" borderId="17" xfId="0" applyNumberFormat="1" applyFont="1" applyFill="1" applyBorder="1" applyAlignment="1">
      <alignment vertical="top" wrapText="1"/>
    </xf>
    <xf numFmtId="166" fontId="9" fillId="3" borderId="8" xfId="0" applyNumberFormat="1" applyFont="1" applyFill="1" applyBorder="1" applyAlignment="1">
      <alignment vertical="top" wrapText="1"/>
    </xf>
    <xf numFmtId="167" fontId="9" fillId="3" borderId="10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8" fillId="2" borderId="4" xfId="0" applyFont="1" applyFill="1" applyBorder="1" applyAlignment="1">
      <alignment vertical="top"/>
    </xf>
    <xf numFmtId="0" fontId="8" fillId="2" borderId="0" xfId="0" applyFont="1" applyFill="1" applyAlignment="1">
      <alignment vertical="top" wrapText="1"/>
    </xf>
    <xf numFmtId="165" fontId="8" fillId="4" borderId="0" xfId="1" applyNumberFormat="1" applyFont="1" applyFill="1" applyBorder="1" applyAlignment="1">
      <alignment vertical="top" wrapText="1"/>
    </xf>
    <xf numFmtId="165" fontId="8" fillId="2" borderId="13" xfId="1" applyNumberFormat="1" applyFont="1" applyFill="1" applyBorder="1" applyAlignment="1">
      <alignment vertical="top" wrapText="1"/>
    </xf>
    <xf numFmtId="0" fontId="12" fillId="2" borderId="4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11" fillId="2" borderId="14" xfId="0" applyFont="1" applyFill="1" applyBorder="1" applyAlignment="1">
      <alignment horizontal="center" vertical="top" wrapText="1"/>
    </xf>
    <xf numFmtId="165" fontId="7" fillId="4" borderId="1" xfId="1" applyNumberFormat="1" applyFont="1" applyFill="1" applyBorder="1" applyAlignment="1">
      <alignment vertical="top" wrapText="1"/>
    </xf>
    <xf numFmtId="165" fontId="7" fillId="2" borderId="14" xfId="1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horizontal="center" vertical="top" wrapText="1"/>
    </xf>
    <xf numFmtId="165" fontId="7" fillId="4" borderId="2" xfId="1" applyNumberFormat="1" applyFont="1" applyFill="1" applyBorder="1" applyAlignment="1">
      <alignment vertical="top" wrapText="1"/>
    </xf>
    <xf numFmtId="165" fontId="7" fillId="2" borderId="15" xfId="1" applyNumberFormat="1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horizontal="center" vertical="top" wrapText="1"/>
    </xf>
    <xf numFmtId="165" fontId="7" fillId="4" borderId="3" xfId="1" applyNumberFormat="1" applyFont="1" applyFill="1" applyBorder="1" applyAlignment="1">
      <alignment vertical="top" wrapText="1"/>
    </xf>
    <xf numFmtId="165" fontId="7" fillId="2" borderId="16" xfId="1" applyNumberFormat="1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167" fontId="8" fillId="4" borderId="8" xfId="0" applyNumberFormat="1" applyFont="1" applyFill="1" applyBorder="1" applyAlignment="1">
      <alignment vertical="top" wrapText="1"/>
    </xf>
    <xf numFmtId="165" fontId="8" fillId="4" borderId="8" xfId="1" applyNumberFormat="1" applyFont="1" applyFill="1" applyBorder="1" applyAlignment="1">
      <alignment vertical="top" wrapText="1"/>
    </xf>
    <xf numFmtId="165" fontId="8" fillId="4" borderId="10" xfId="1" applyNumberFormat="1" applyFont="1" applyFill="1" applyBorder="1" applyAlignment="1">
      <alignment vertical="top" wrapText="1"/>
    </xf>
    <xf numFmtId="167" fontId="8" fillId="2" borderId="4" xfId="0" applyNumberFormat="1" applyFont="1" applyFill="1" applyBorder="1" applyAlignment="1">
      <alignment vertical="top"/>
    </xf>
    <xf numFmtId="0" fontId="8" fillId="4" borderId="0" xfId="0" applyFont="1" applyFill="1" applyAlignment="1">
      <alignment vertical="top" wrapText="1"/>
    </xf>
    <xf numFmtId="167" fontId="7" fillId="2" borderId="1" xfId="0" applyNumberFormat="1" applyFont="1" applyFill="1" applyBorder="1" applyAlignment="1">
      <alignment vertical="top" wrapText="1"/>
    </xf>
    <xf numFmtId="167" fontId="7" fillId="2" borderId="2" xfId="0" applyNumberFormat="1" applyFont="1" applyFill="1" applyBorder="1" applyAlignment="1">
      <alignment vertical="top" wrapText="1"/>
    </xf>
    <xf numFmtId="165" fontId="7" fillId="4" borderId="0" xfId="1" applyNumberFormat="1" applyFont="1" applyFill="1" applyBorder="1" applyAlignment="1">
      <alignment vertical="top" wrapText="1"/>
    </xf>
    <xf numFmtId="165" fontId="7" fillId="2" borderId="13" xfId="1" applyNumberFormat="1" applyFont="1" applyFill="1" applyBorder="1" applyAlignment="1">
      <alignment vertical="top" wrapText="1"/>
    </xf>
    <xf numFmtId="165" fontId="8" fillId="4" borderId="0" xfId="0" applyNumberFormat="1" applyFont="1" applyFill="1" applyAlignment="1">
      <alignment vertical="top" wrapText="1"/>
    </xf>
    <xf numFmtId="165" fontId="8" fillId="2" borderId="13" xfId="0" applyNumberFormat="1" applyFont="1" applyFill="1" applyBorder="1" applyAlignment="1">
      <alignment vertical="top" wrapText="1"/>
    </xf>
    <xf numFmtId="167" fontId="7" fillId="2" borderId="3" xfId="0" applyNumberFormat="1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/>
    </xf>
    <xf numFmtId="0" fontId="7" fillId="2" borderId="12" xfId="0" applyFont="1" applyFill="1" applyBorder="1" applyAlignment="1">
      <alignment vertical="top" wrapText="1"/>
    </xf>
    <xf numFmtId="165" fontId="7" fillId="4" borderId="12" xfId="1" applyNumberFormat="1" applyFont="1" applyFill="1" applyBorder="1" applyAlignment="1">
      <alignment vertical="top" wrapText="1"/>
    </xf>
    <xf numFmtId="165" fontId="7" fillId="2" borderId="17" xfId="1" applyNumberFormat="1" applyFont="1" applyFill="1" applyBorder="1" applyAlignment="1">
      <alignment vertical="top" wrapText="1"/>
    </xf>
    <xf numFmtId="167" fontId="9" fillId="3" borderId="7" xfId="0" applyNumberFormat="1" applyFont="1" applyFill="1" applyBorder="1" applyAlignment="1">
      <alignment vertical="top"/>
    </xf>
    <xf numFmtId="0" fontId="9" fillId="3" borderId="8" xfId="0" applyFont="1" applyFill="1" applyBorder="1" applyAlignment="1">
      <alignment vertical="top" wrapText="1"/>
    </xf>
    <xf numFmtId="165" fontId="9" fillId="3" borderId="8" xfId="1" applyNumberFormat="1" applyFont="1" applyFill="1" applyBorder="1" applyAlignment="1">
      <alignment vertical="top" wrapText="1"/>
    </xf>
    <xf numFmtId="165" fontId="9" fillId="3" borderId="10" xfId="1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vertical="top" wrapText="1"/>
    </xf>
    <xf numFmtId="165" fontId="8" fillId="4" borderId="20" xfId="1" applyNumberFormat="1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165" fontId="7" fillId="4" borderId="21" xfId="1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left" vertical="top" wrapText="1"/>
    </xf>
    <xf numFmtId="165" fontId="7" fillId="2" borderId="3" xfId="0" applyNumberFormat="1" applyFont="1" applyFill="1" applyBorder="1" applyAlignment="1">
      <alignment vertical="top" wrapText="1"/>
    </xf>
    <xf numFmtId="165" fontId="7" fillId="4" borderId="22" xfId="1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165" fontId="8" fillId="4" borderId="8" xfId="0" applyNumberFormat="1" applyFont="1" applyFill="1" applyBorder="1" applyAlignment="1">
      <alignment vertical="top" wrapText="1"/>
    </xf>
    <xf numFmtId="165" fontId="8" fillId="4" borderId="9" xfId="1" applyNumberFormat="1" applyFont="1" applyFill="1" applyBorder="1" applyAlignment="1">
      <alignment vertical="top" wrapText="1"/>
    </xf>
    <xf numFmtId="165" fontId="8" fillId="2" borderId="4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167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165" fontId="8" fillId="2" borderId="0" xfId="1" applyNumberFormat="1" applyFont="1" applyFill="1" applyBorder="1" applyAlignment="1">
      <alignment horizontal="left" vertical="top" wrapText="1"/>
    </xf>
    <xf numFmtId="165" fontId="7" fillId="2" borderId="1" xfId="1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left" vertical="top" wrapText="1"/>
    </xf>
    <xf numFmtId="165" fontId="7" fillId="2" borderId="25" xfId="1" applyNumberFormat="1" applyFont="1" applyFill="1" applyBorder="1" applyAlignment="1">
      <alignment horizontal="left" vertical="top" wrapText="1"/>
    </xf>
    <xf numFmtId="165" fontId="7" fillId="2" borderId="3" xfId="1" applyNumberFormat="1" applyFont="1" applyFill="1" applyBorder="1" applyAlignment="1">
      <alignment horizontal="left" vertical="top" wrapText="1"/>
    </xf>
    <xf numFmtId="165" fontId="7" fillId="2" borderId="23" xfId="1" applyNumberFormat="1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center" wrapText="1"/>
    </xf>
    <xf numFmtId="165" fontId="7" fillId="4" borderId="8" xfId="1" applyNumberFormat="1" applyFont="1" applyFill="1" applyBorder="1" applyAlignment="1">
      <alignment horizontal="left" vertical="top" wrapText="1"/>
    </xf>
    <xf numFmtId="165" fontId="7" fillId="4" borderId="9" xfId="1" applyNumberFormat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1333" name="Picture 2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1334" name="Picture 2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1335" name="Picture 2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</xdr:row>
      <xdr:rowOff>0</xdr:rowOff>
    </xdr:from>
    <xdr:to>
      <xdr:col>0</xdr:col>
      <xdr:colOff>219075</xdr:colOff>
      <xdr:row>2</xdr:row>
      <xdr:rowOff>0</xdr:rowOff>
    </xdr:to>
    <xdr:pic>
      <xdr:nvPicPr>
        <xdr:cNvPr id="1336" name="Picture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5048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3</xdr:row>
      <xdr:rowOff>76200</xdr:rowOff>
    </xdr:to>
    <xdr:sp macro="" textlink="">
      <xdr:nvSpPr>
        <xdr:cNvPr id="1337" name="Rectangle 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10450" cy="819150"/>
        </a:xfrm>
        <a:prstGeom prst="rect">
          <a:avLst/>
        </a:prstGeom>
        <a:solidFill>
          <a:srgbClr val="3C7BAF"/>
        </a:solidFill>
        <a:ln w="9525">
          <a:solidFill>
            <a:srgbClr val="537997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1134811</xdr:colOff>
      <xdr:row>0</xdr:row>
      <xdr:rowOff>19050</xdr:rowOff>
    </xdr:from>
    <xdr:to>
      <xdr:col>7</xdr:col>
      <xdr:colOff>333376</xdr:colOff>
      <xdr:row>3</xdr:row>
      <xdr:rowOff>66675</xdr:rowOff>
    </xdr:to>
    <xdr:sp macro="" textlink="">
      <xdr:nvSpPr>
        <xdr:cNvPr id="3" name="Text Box 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63411" y="19050"/>
          <a:ext cx="4923090" cy="7620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300"/>
            </a:lnSpc>
            <a:defRPr sz="1000"/>
          </a:pPr>
          <a:r>
            <a:rPr lang="fr-CH" sz="1200" b="1" i="0" u="none" strike="noStrike" baseline="0">
              <a:solidFill>
                <a:srgbClr val="FFFFFF"/>
              </a:solidFill>
              <a:latin typeface="+mn-lt"/>
            </a:rPr>
            <a:t>ANNEX C-1</a:t>
          </a:r>
        </a:p>
        <a:p>
          <a:pPr algn="ctr" rtl="0">
            <a:lnSpc>
              <a:spcPts val="1100"/>
            </a:lnSpc>
            <a:defRPr sz="1000"/>
          </a:pPr>
          <a:r>
            <a:rPr lang="fr-CH" sz="1200" b="1" i="0" u="none" strike="noStrike" baseline="0">
              <a:solidFill>
                <a:srgbClr val="FFFFFF"/>
              </a:solidFill>
              <a:latin typeface="+mn-lt"/>
            </a:rPr>
            <a:t>Budget for the 2026 season</a:t>
          </a:r>
        </a:p>
        <a:p>
          <a:pPr algn="ctr" rtl="0">
            <a:lnSpc>
              <a:spcPts val="1100"/>
            </a:lnSpc>
            <a:defRPr sz="1000"/>
          </a:pPr>
          <a:endParaRPr lang="fr-CH" sz="1000" b="0" i="0" u="none" strike="noStrike" baseline="0">
            <a:solidFill>
              <a:srgbClr val="FFFFFF"/>
            </a:solidFill>
            <a:latin typeface="+mn-lt"/>
          </a:endParaRPr>
        </a:p>
        <a:p>
          <a:pPr algn="ctr" rtl="0">
            <a:defRPr sz="1000"/>
          </a:pPr>
          <a:r>
            <a:rPr lang="fr-CH" sz="1100" b="0" i="0" u="none" strike="noStrike" baseline="0">
              <a:solidFill>
                <a:srgbClr val="FFFFFF"/>
              </a:solidFill>
              <a:latin typeface="+mn-lt"/>
            </a:rPr>
            <a:t>UCI Continental Teams and UCI Women's Continental Teams</a:t>
          </a:r>
        </a:p>
        <a:p>
          <a:pPr algn="ctr" rtl="0">
            <a:lnSpc>
              <a:spcPts val="1100"/>
            </a:lnSpc>
            <a:defRPr sz="1000"/>
          </a:pPr>
          <a:endParaRPr lang="fr-CH" sz="1100" b="1" i="0" u="none" strike="noStrike" baseline="0">
            <a:solidFill>
              <a:srgbClr val="FFFFFF"/>
            </a:solidFill>
            <a:latin typeface="Century Gothic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61"/>
  <sheetViews>
    <sheetView tabSelected="1" topLeftCell="A23" zoomScaleNormal="100" zoomScaleSheetLayoutView="85" workbookViewId="0">
      <selection activeCell="G48" sqref="G48"/>
    </sheetView>
  </sheetViews>
  <sheetFormatPr defaultColWidth="8.81640625" defaultRowHeight="12.5" x14ac:dyDescent="0.25"/>
  <cols>
    <col min="1" max="1" width="3.26953125" style="2" customWidth="1"/>
    <col min="2" max="2" width="37.6328125" style="2" bestFit="1" customWidth="1"/>
    <col min="3" max="3" width="5.7265625" style="2" bestFit="1" customWidth="1"/>
    <col min="4" max="4" width="11" style="2" customWidth="1"/>
    <col min="5" max="5" width="12.1796875" style="2" customWidth="1"/>
    <col min="6" max="7" width="9" style="2" customWidth="1"/>
    <col min="8" max="8" width="26" style="2" customWidth="1"/>
    <col min="9" max="9" width="40.7265625" style="2" customWidth="1"/>
    <col min="10" max="16384" width="8.81640625" style="2"/>
  </cols>
  <sheetData>
    <row r="1" spans="1:10" x14ac:dyDescent="0.25">
      <c r="A1" s="112"/>
      <c r="B1" s="111"/>
      <c r="C1" s="37"/>
      <c r="D1" s="37"/>
      <c r="E1" s="37"/>
      <c r="F1" s="37"/>
      <c r="G1" s="37"/>
      <c r="H1" s="38"/>
      <c r="I1" s="106"/>
      <c r="J1" s="107"/>
    </row>
    <row r="2" spans="1:10" s="3" customFormat="1" ht="24.75" customHeight="1" x14ac:dyDescent="0.25">
      <c r="A2" s="112"/>
      <c r="B2" s="112"/>
      <c r="C2" s="39"/>
      <c r="D2" s="39"/>
      <c r="E2" s="39"/>
      <c r="F2" s="39"/>
      <c r="G2" s="39"/>
      <c r="H2" s="40"/>
      <c r="I2" s="108"/>
      <c r="J2" s="109"/>
    </row>
    <row r="3" spans="1:10" ht="18.75" customHeight="1" x14ac:dyDescent="0.25">
      <c r="A3" s="112"/>
      <c r="B3" s="39"/>
      <c r="C3" s="39"/>
      <c r="D3" s="39"/>
      <c r="E3" s="39"/>
      <c r="F3" s="39"/>
      <c r="G3" s="39"/>
      <c r="H3" s="41"/>
      <c r="I3" s="107"/>
      <c r="J3" s="107"/>
    </row>
    <row r="4" spans="1:10" ht="18.75" customHeight="1" x14ac:dyDescent="0.25">
      <c r="A4" s="39"/>
      <c r="B4" s="39"/>
      <c r="C4" s="39"/>
      <c r="D4" s="39"/>
      <c r="E4" s="39"/>
      <c r="F4" s="39"/>
      <c r="G4" s="39"/>
      <c r="H4" s="41"/>
      <c r="I4" s="107"/>
      <c r="J4" s="107"/>
    </row>
    <row r="5" spans="1:10" ht="18.75" customHeight="1" x14ac:dyDescent="0.25">
      <c r="A5" s="39"/>
      <c r="B5" s="39"/>
      <c r="C5" s="39"/>
      <c r="D5" s="39"/>
      <c r="E5" s="39"/>
      <c r="F5" s="42" t="s">
        <v>0</v>
      </c>
      <c r="G5" s="132"/>
      <c r="H5" s="132"/>
      <c r="I5" s="107"/>
      <c r="J5" s="107"/>
    </row>
    <row r="6" spans="1:10" ht="6.75" customHeight="1" x14ac:dyDescent="0.25">
      <c r="A6" s="39"/>
      <c r="B6" s="39"/>
      <c r="C6" s="39"/>
      <c r="D6" s="39"/>
      <c r="E6" s="39"/>
      <c r="F6" s="39"/>
      <c r="G6" s="39"/>
      <c r="H6" s="41"/>
      <c r="I6" s="107"/>
      <c r="J6" s="107"/>
    </row>
    <row r="7" spans="1:10" s="4" customFormat="1" ht="18.75" customHeight="1" x14ac:dyDescent="0.3">
      <c r="A7" s="43" t="s">
        <v>1</v>
      </c>
      <c r="B7" s="43"/>
      <c r="C7" s="43"/>
      <c r="D7" s="43"/>
      <c r="E7" s="43"/>
      <c r="F7" s="43"/>
      <c r="G7" s="44">
        <v>1</v>
      </c>
      <c r="H7" s="45" t="s">
        <v>2</v>
      </c>
    </row>
    <row r="8" spans="1:10" s="4" customFormat="1" ht="18.75" customHeight="1" x14ac:dyDescent="0.3">
      <c r="A8" s="43" t="s">
        <v>3</v>
      </c>
      <c r="B8" s="43"/>
      <c r="C8" s="43"/>
      <c r="D8" s="43"/>
      <c r="E8" s="43"/>
      <c r="F8" s="43"/>
      <c r="G8" s="44">
        <v>2</v>
      </c>
      <c r="H8" s="46" t="s">
        <v>59</v>
      </c>
    </row>
    <row r="9" spans="1:10" ht="6" customHeight="1" x14ac:dyDescent="0.25">
      <c r="A9" s="39"/>
      <c r="B9" s="39"/>
      <c r="C9" s="39"/>
      <c r="D9" s="39"/>
      <c r="E9" s="39"/>
      <c r="F9" s="39"/>
      <c r="G9" s="39"/>
      <c r="H9" s="39"/>
      <c r="I9" s="107"/>
      <c r="J9" s="107"/>
    </row>
    <row r="10" spans="1:10" s="3" customFormat="1" ht="42" customHeight="1" x14ac:dyDescent="0.25">
      <c r="A10" s="113"/>
      <c r="B10" s="114"/>
      <c r="C10" s="8" t="s">
        <v>4</v>
      </c>
      <c r="D10" s="47" t="s">
        <v>60</v>
      </c>
      <c r="E10" s="8" t="s">
        <v>5</v>
      </c>
      <c r="F10" s="9" t="s">
        <v>6</v>
      </c>
      <c r="G10" s="8" t="s">
        <v>7</v>
      </c>
      <c r="H10" s="48" t="s">
        <v>8</v>
      </c>
      <c r="I10" s="110"/>
      <c r="J10" s="110"/>
    </row>
    <row r="11" spans="1:10" s="1" customFormat="1" x14ac:dyDescent="0.25">
      <c r="A11" s="49"/>
      <c r="B11" s="50"/>
      <c r="C11" s="51"/>
      <c r="D11" s="52"/>
      <c r="E11" s="51"/>
      <c r="F11" s="50"/>
      <c r="G11" s="10"/>
      <c r="H11" s="10"/>
      <c r="I11" s="106"/>
      <c r="J11" s="106"/>
    </row>
    <row r="12" spans="1:10" s="5" customFormat="1" ht="13" x14ac:dyDescent="0.25">
      <c r="A12" s="53" t="s">
        <v>9</v>
      </c>
      <c r="B12" s="54"/>
      <c r="C12" s="11"/>
      <c r="D12" s="55"/>
      <c r="E12" s="56"/>
      <c r="F12" s="54"/>
      <c r="G12" s="11"/>
      <c r="H12" s="11"/>
    </row>
    <row r="13" spans="1:10" s="5" customFormat="1" ht="13" x14ac:dyDescent="0.25">
      <c r="A13" s="57"/>
      <c r="B13" s="54"/>
      <c r="C13" s="11"/>
      <c r="D13" s="55"/>
      <c r="E13" s="56"/>
      <c r="F13" s="54"/>
      <c r="G13" s="11"/>
      <c r="H13" s="11"/>
    </row>
    <row r="14" spans="1:10" s="1" customFormat="1" x14ac:dyDescent="0.25">
      <c r="A14" s="58"/>
      <c r="B14" s="59" t="s">
        <v>10</v>
      </c>
      <c r="C14" s="60">
        <v>4</v>
      </c>
      <c r="D14" s="61">
        <v>300000</v>
      </c>
      <c r="E14" s="62">
        <v>200000</v>
      </c>
      <c r="F14" s="12">
        <f>D14-E14</f>
        <v>100000</v>
      </c>
      <c r="G14" s="13">
        <f>F14/E14</f>
        <v>0.5</v>
      </c>
      <c r="H14" s="14" t="s">
        <v>11</v>
      </c>
      <c r="I14" s="106"/>
      <c r="J14" s="106"/>
    </row>
    <row r="15" spans="1:10" s="1" customFormat="1" x14ac:dyDescent="0.25">
      <c r="A15" s="58"/>
      <c r="B15" s="63" t="s">
        <v>12</v>
      </c>
      <c r="C15" s="64">
        <v>5</v>
      </c>
      <c r="D15" s="65">
        <v>200000</v>
      </c>
      <c r="E15" s="66">
        <v>240000</v>
      </c>
      <c r="F15" s="12">
        <f>D15-E15</f>
        <v>-40000</v>
      </c>
      <c r="G15" s="13">
        <f>F15/E15</f>
        <v>-0.16666666666666666</v>
      </c>
      <c r="H15" s="14"/>
      <c r="I15" s="106"/>
      <c r="J15" s="106"/>
    </row>
    <row r="16" spans="1:10" s="1" customFormat="1" ht="21" x14ac:dyDescent="0.25">
      <c r="A16" s="58"/>
      <c r="B16" s="63" t="s">
        <v>13</v>
      </c>
      <c r="C16" s="64">
        <v>6</v>
      </c>
      <c r="D16" s="15" t="s">
        <v>14</v>
      </c>
      <c r="E16" s="16" t="s">
        <v>14</v>
      </c>
      <c r="F16" s="12"/>
      <c r="G16" s="13"/>
      <c r="H16" s="14" t="s">
        <v>15</v>
      </c>
      <c r="I16" s="106"/>
      <c r="J16" s="106"/>
    </row>
    <row r="17" spans="1:8" s="1" customFormat="1" x14ac:dyDescent="0.25">
      <c r="A17" s="58"/>
      <c r="B17" s="63" t="s">
        <v>16</v>
      </c>
      <c r="C17" s="64">
        <v>7</v>
      </c>
      <c r="D17" s="65">
        <v>50000</v>
      </c>
      <c r="E17" s="66">
        <v>20000</v>
      </c>
      <c r="F17" s="12">
        <f>D17-E17</f>
        <v>30000</v>
      </c>
      <c r="G17" s="13">
        <f>F17/E17</f>
        <v>1.5</v>
      </c>
      <c r="H17" s="17" t="s">
        <v>17</v>
      </c>
    </row>
    <row r="18" spans="1:8" s="1" customFormat="1" x14ac:dyDescent="0.25">
      <c r="A18" s="58"/>
      <c r="B18" s="67"/>
      <c r="C18" s="68">
        <v>8</v>
      </c>
      <c r="D18" s="69"/>
      <c r="E18" s="70"/>
      <c r="F18" s="18">
        <f>D18-E18</f>
        <v>0</v>
      </c>
      <c r="G18" s="19"/>
      <c r="H18" s="20"/>
    </row>
    <row r="19" spans="1:8" s="5" customFormat="1" ht="13" x14ac:dyDescent="0.25">
      <c r="A19" s="71"/>
      <c r="B19" s="72" t="s">
        <v>18</v>
      </c>
      <c r="C19" s="23"/>
      <c r="D19" s="73">
        <f>SUM(D12:D18)</f>
        <v>550000</v>
      </c>
      <c r="E19" s="74">
        <f>SUM(E12:E18)</f>
        <v>460000</v>
      </c>
      <c r="F19" s="21">
        <f>D19-E19</f>
        <v>90000</v>
      </c>
      <c r="G19" s="22">
        <f>F19/E19</f>
        <v>0.19565217391304349</v>
      </c>
      <c r="H19" s="23"/>
    </row>
    <row r="20" spans="1:8" ht="6" customHeight="1" x14ac:dyDescent="0.25">
      <c r="A20" s="49"/>
      <c r="B20" s="50"/>
      <c r="C20" s="51"/>
      <c r="D20" s="52"/>
      <c r="E20" s="51"/>
      <c r="F20" s="50"/>
      <c r="G20" s="51"/>
      <c r="H20" s="24"/>
    </row>
    <row r="21" spans="1:8" s="6" customFormat="1" ht="13" x14ac:dyDescent="0.3">
      <c r="A21" s="75" t="s">
        <v>19</v>
      </c>
      <c r="B21" s="54"/>
      <c r="C21" s="11"/>
      <c r="D21" s="76"/>
      <c r="E21" s="11"/>
      <c r="F21" s="54"/>
      <c r="G21" s="11"/>
      <c r="H21" s="25"/>
    </row>
    <row r="22" spans="1:8" s="6" customFormat="1" ht="13" x14ac:dyDescent="0.3">
      <c r="A22" s="57"/>
      <c r="B22" s="54"/>
      <c r="C22" s="11"/>
      <c r="D22" s="76"/>
      <c r="E22" s="11"/>
      <c r="F22" s="54"/>
      <c r="G22" s="11"/>
      <c r="H22" s="25"/>
    </row>
    <row r="23" spans="1:8" x14ac:dyDescent="0.25">
      <c r="A23" s="58"/>
      <c r="B23" s="77" t="s">
        <v>20</v>
      </c>
      <c r="C23" s="60">
        <v>9</v>
      </c>
      <c r="D23" s="61">
        <v>150000</v>
      </c>
      <c r="E23" s="62">
        <v>130000</v>
      </c>
      <c r="F23" s="12">
        <f>D23-E23</f>
        <v>20000</v>
      </c>
      <c r="G23" s="13">
        <f>F23/E23</f>
        <v>0.15384615384615385</v>
      </c>
      <c r="H23" s="17"/>
    </row>
    <row r="24" spans="1:8" x14ac:dyDescent="0.25">
      <c r="A24" s="58"/>
      <c r="B24" s="78" t="s">
        <v>21</v>
      </c>
      <c r="C24" s="64">
        <v>10</v>
      </c>
      <c r="D24" s="61">
        <v>25000</v>
      </c>
      <c r="E24" s="62">
        <v>20000</v>
      </c>
      <c r="F24" s="12">
        <f>D24-E24</f>
        <v>5000</v>
      </c>
      <c r="G24" s="13">
        <f>F24/E24</f>
        <v>0.25</v>
      </c>
      <c r="H24" s="17"/>
    </row>
    <row r="25" spans="1:8" x14ac:dyDescent="0.25">
      <c r="A25" s="58"/>
      <c r="B25" s="78" t="s">
        <v>22</v>
      </c>
      <c r="C25" s="64">
        <v>11</v>
      </c>
      <c r="D25" s="61"/>
      <c r="E25" s="62"/>
      <c r="F25" s="12"/>
      <c r="G25" s="13"/>
      <c r="H25" s="17"/>
    </row>
    <row r="26" spans="1:8" x14ac:dyDescent="0.25">
      <c r="A26" s="58"/>
      <c r="B26" s="78" t="s">
        <v>23</v>
      </c>
      <c r="C26" s="64">
        <v>12</v>
      </c>
      <c r="D26" s="61">
        <v>10000</v>
      </c>
      <c r="E26" s="62">
        <v>10000</v>
      </c>
      <c r="F26" s="12">
        <f>D26-E26</f>
        <v>0</v>
      </c>
      <c r="G26" s="13">
        <f>F26/E26</f>
        <v>0</v>
      </c>
      <c r="H26" s="17"/>
    </row>
    <row r="27" spans="1:8" x14ac:dyDescent="0.25">
      <c r="A27" s="58"/>
      <c r="B27" s="78" t="s">
        <v>24</v>
      </c>
      <c r="C27" s="64">
        <v>13</v>
      </c>
      <c r="D27" s="61"/>
      <c r="E27" s="62"/>
      <c r="F27" s="12">
        <f>D27-E27</f>
        <v>0</v>
      </c>
      <c r="G27" s="26"/>
      <c r="H27" s="17"/>
    </row>
    <row r="28" spans="1:8" x14ac:dyDescent="0.25">
      <c r="A28" s="58"/>
      <c r="B28" s="67"/>
      <c r="C28" s="68">
        <v>8</v>
      </c>
      <c r="D28" s="79"/>
      <c r="E28" s="80"/>
      <c r="F28" s="27">
        <f>D28-E28</f>
        <v>0</v>
      </c>
      <c r="G28" s="26"/>
      <c r="H28" s="20"/>
    </row>
    <row r="29" spans="1:8" s="5" customFormat="1" ht="13" x14ac:dyDescent="0.25">
      <c r="A29" s="71"/>
      <c r="B29" s="72" t="s">
        <v>25</v>
      </c>
      <c r="C29" s="23"/>
      <c r="D29" s="73">
        <f>SUM(D21:D27)</f>
        <v>185000</v>
      </c>
      <c r="E29" s="74">
        <f>SUM(E21:E27)</f>
        <v>160000</v>
      </c>
      <c r="F29" s="21">
        <f>D29-E29</f>
        <v>25000</v>
      </c>
      <c r="G29" s="22">
        <f>F29/E29</f>
        <v>0.15625</v>
      </c>
      <c r="H29" s="28"/>
    </row>
    <row r="30" spans="1:8" x14ac:dyDescent="0.25">
      <c r="A30" s="49"/>
      <c r="B30" s="50"/>
      <c r="C30" s="51"/>
      <c r="D30" s="76"/>
      <c r="E30" s="11"/>
      <c r="F30" s="54"/>
      <c r="G30" s="11"/>
      <c r="H30" s="14"/>
    </row>
    <row r="31" spans="1:8" x14ac:dyDescent="0.25">
      <c r="A31" s="58"/>
      <c r="B31" s="77" t="s">
        <v>26</v>
      </c>
      <c r="C31" s="60">
        <v>14</v>
      </c>
      <c r="D31" s="61">
        <v>5000</v>
      </c>
      <c r="E31" s="62">
        <v>3000</v>
      </c>
      <c r="F31" s="12">
        <f>D31-E31</f>
        <v>2000</v>
      </c>
      <c r="G31" s="13">
        <f>F31/E31</f>
        <v>0.66666666666666663</v>
      </c>
      <c r="H31" s="17"/>
    </row>
    <row r="32" spans="1:8" x14ac:dyDescent="0.25">
      <c r="A32" s="58"/>
      <c r="B32" s="77" t="s">
        <v>27</v>
      </c>
      <c r="C32" s="64">
        <v>15</v>
      </c>
      <c r="D32" s="61">
        <v>75000</v>
      </c>
      <c r="E32" s="62">
        <v>70000</v>
      </c>
      <c r="F32" s="12">
        <f>D32-E32</f>
        <v>5000</v>
      </c>
      <c r="G32" s="13">
        <f>F32/E32</f>
        <v>7.1428571428571425E-2</v>
      </c>
      <c r="H32" s="17"/>
    </row>
    <row r="33" spans="1:9" x14ac:dyDescent="0.25">
      <c r="A33" s="58"/>
      <c r="B33" s="78" t="s">
        <v>28</v>
      </c>
      <c r="C33" s="64">
        <v>16</v>
      </c>
      <c r="D33" s="61">
        <v>50000</v>
      </c>
      <c r="E33" s="62">
        <v>48000</v>
      </c>
      <c r="F33" s="12">
        <f>D33-E33</f>
        <v>2000</v>
      </c>
      <c r="G33" s="13">
        <f>F33/E33</f>
        <v>4.1666666666666664E-2</v>
      </c>
      <c r="H33" s="17"/>
      <c r="I33" s="107"/>
    </row>
    <row r="34" spans="1:9" x14ac:dyDescent="0.25">
      <c r="A34" s="58"/>
      <c r="B34" s="78" t="s">
        <v>29</v>
      </c>
      <c r="C34" s="64">
        <v>17</v>
      </c>
      <c r="D34" s="61"/>
      <c r="E34" s="62"/>
      <c r="F34" s="12"/>
      <c r="G34" s="13"/>
      <c r="H34" s="17"/>
      <c r="I34" s="107"/>
    </row>
    <row r="35" spans="1:9" x14ac:dyDescent="0.25">
      <c r="A35" s="58"/>
      <c r="B35" s="78" t="s">
        <v>30</v>
      </c>
      <c r="C35" s="64">
        <v>18</v>
      </c>
      <c r="D35" s="61">
        <v>12000</v>
      </c>
      <c r="E35" s="62">
        <v>10000</v>
      </c>
      <c r="F35" s="12">
        <f>D35-E35</f>
        <v>2000</v>
      </c>
      <c r="G35" s="13">
        <f>F35/E35</f>
        <v>0.2</v>
      </c>
      <c r="H35" s="17"/>
      <c r="I35" s="107"/>
    </row>
    <row r="36" spans="1:9" x14ac:dyDescent="0.25">
      <c r="A36" s="58"/>
      <c r="B36" s="67"/>
      <c r="C36" s="68">
        <v>8</v>
      </c>
      <c r="D36" s="69">
        <v>1000</v>
      </c>
      <c r="E36" s="70"/>
      <c r="F36" s="18">
        <f>D36-E36</f>
        <v>1000</v>
      </c>
      <c r="G36" s="19"/>
      <c r="H36" s="20"/>
      <c r="I36" s="107"/>
    </row>
    <row r="37" spans="1:9" s="5" customFormat="1" ht="13" x14ac:dyDescent="0.25">
      <c r="A37" s="71"/>
      <c r="B37" s="72" t="s">
        <v>31</v>
      </c>
      <c r="C37" s="23"/>
      <c r="D37" s="73">
        <f>SUM(D30:D36)</f>
        <v>143000</v>
      </c>
      <c r="E37" s="74">
        <f>SUM(E29:E36)</f>
        <v>291000</v>
      </c>
      <c r="F37" s="21">
        <f>D37-E37</f>
        <v>-148000</v>
      </c>
      <c r="G37" s="22">
        <f>F37/E37</f>
        <v>-0.50859106529209619</v>
      </c>
      <c r="H37" s="23"/>
    </row>
    <row r="38" spans="1:9" ht="6.75" customHeight="1" x14ac:dyDescent="0.25">
      <c r="A38" s="49"/>
      <c r="B38" s="50"/>
      <c r="C38" s="51"/>
      <c r="D38" s="52"/>
      <c r="E38" s="51"/>
      <c r="F38" s="50"/>
      <c r="G38" s="51"/>
      <c r="H38" s="24"/>
      <c r="I38" s="107"/>
    </row>
    <row r="39" spans="1:9" s="6" customFormat="1" ht="13" x14ac:dyDescent="0.3">
      <c r="A39" s="75" t="s">
        <v>32</v>
      </c>
      <c r="B39" s="54"/>
      <c r="C39" s="11"/>
      <c r="D39" s="81">
        <f>D19-D29-D37</f>
        <v>222000</v>
      </c>
      <c r="E39" s="82">
        <f>E19-E29-E37</f>
        <v>9000</v>
      </c>
      <c r="F39" s="29">
        <f>D39-E39</f>
        <v>213000</v>
      </c>
      <c r="G39" s="30">
        <f>F39/E39</f>
        <v>23.666666666666668</v>
      </c>
      <c r="H39" s="17"/>
    </row>
    <row r="40" spans="1:9" x14ac:dyDescent="0.25">
      <c r="A40" s="49"/>
      <c r="B40" s="50"/>
      <c r="C40" s="51"/>
      <c r="D40" s="76"/>
      <c r="E40" s="11"/>
      <c r="F40" s="54"/>
      <c r="G40" s="11"/>
      <c r="H40" s="17"/>
      <c r="I40" s="107"/>
    </row>
    <row r="41" spans="1:9" x14ac:dyDescent="0.25">
      <c r="A41" s="58"/>
      <c r="B41" s="77" t="s">
        <v>33</v>
      </c>
      <c r="C41" s="60">
        <v>19</v>
      </c>
      <c r="D41" s="61">
        <v>-1000</v>
      </c>
      <c r="E41" s="62">
        <v>-1000</v>
      </c>
      <c r="F41" s="12">
        <f>D41-E41</f>
        <v>0</v>
      </c>
      <c r="G41" s="13">
        <f t="shared" ref="G41:G47" si="0">F41/E41</f>
        <v>0</v>
      </c>
      <c r="H41" s="17"/>
      <c r="I41" s="107"/>
    </row>
    <row r="42" spans="1:9" x14ac:dyDescent="0.25">
      <c r="A42" s="58"/>
      <c r="B42" s="77" t="s">
        <v>34</v>
      </c>
      <c r="C42" s="64">
        <v>20</v>
      </c>
      <c r="D42" s="61">
        <v>0</v>
      </c>
      <c r="E42" s="62">
        <v>0</v>
      </c>
      <c r="F42" s="12">
        <f>D42-E42</f>
        <v>0</v>
      </c>
      <c r="G42" s="13"/>
      <c r="H42" s="17"/>
      <c r="I42" s="107"/>
    </row>
    <row r="43" spans="1:9" x14ac:dyDescent="0.25">
      <c r="A43" s="58"/>
      <c r="B43" s="78" t="s">
        <v>35</v>
      </c>
      <c r="C43" s="64">
        <v>21</v>
      </c>
      <c r="D43" s="65">
        <v>-10000</v>
      </c>
      <c r="E43" s="66">
        <v>-2000</v>
      </c>
      <c r="F43" s="12">
        <f>D43-E43</f>
        <v>-8000</v>
      </c>
      <c r="G43" s="13">
        <f t="shared" si="0"/>
        <v>4</v>
      </c>
      <c r="H43" s="17"/>
      <c r="I43" s="107"/>
    </row>
    <row r="44" spans="1:9" x14ac:dyDescent="0.25">
      <c r="A44" s="58"/>
      <c r="B44" s="78" t="s">
        <v>36</v>
      </c>
      <c r="C44" s="64">
        <v>22</v>
      </c>
      <c r="D44" s="65">
        <v>-5000</v>
      </c>
      <c r="E44" s="66">
        <v>-5000</v>
      </c>
      <c r="F44" s="12"/>
      <c r="G44" s="13">
        <f t="shared" si="0"/>
        <v>0</v>
      </c>
      <c r="H44" s="17"/>
      <c r="I44" s="107"/>
    </row>
    <row r="45" spans="1:9" x14ac:dyDescent="0.25">
      <c r="A45" s="58"/>
      <c r="B45" s="83" t="s">
        <v>37</v>
      </c>
      <c r="C45" s="68">
        <v>22</v>
      </c>
      <c r="D45" s="69">
        <v>0</v>
      </c>
      <c r="E45" s="70">
        <v>0</v>
      </c>
      <c r="F45" s="27">
        <f>D45-E45</f>
        <v>0</v>
      </c>
      <c r="G45" s="26"/>
      <c r="H45" s="20"/>
      <c r="I45" s="107"/>
    </row>
    <row r="46" spans="1:9" x14ac:dyDescent="0.25">
      <c r="A46" s="84"/>
      <c r="B46" s="85"/>
      <c r="C46" s="10"/>
      <c r="D46" s="86"/>
      <c r="E46" s="87"/>
      <c r="F46" s="31">
        <f>D46-E46</f>
        <v>0</v>
      </c>
      <c r="G46" s="32"/>
      <c r="H46" s="10"/>
      <c r="I46" s="107"/>
    </row>
    <row r="47" spans="1:9" s="5" customFormat="1" ht="13" x14ac:dyDescent="0.25">
      <c r="A47" s="88" t="s">
        <v>38</v>
      </c>
      <c r="B47" s="89"/>
      <c r="C47" s="35"/>
      <c r="D47" s="90">
        <f>SUM(D39:D46)</f>
        <v>206000</v>
      </c>
      <c r="E47" s="91">
        <f>SUM(E39:E46)</f>
        <v>1000</v>
      </c>
      <c r="F47" s="33">
        <f>D47-E47</f>
        <v>205000</v>
      </c>
      <c r="G47" s="34">
        <f t="shared" si="0"/>
        <v>205</v>
      </c>
      <c r="H47" s="35"/>
      <c r="I47" s="7"/>
    </row>
    <row r="48" spans="1:9" x14ac:dyDescent="0.25">
      <c r="A48" s="92"/>
      <c r="B48" s="39"/>
      <c r="C48" s="39"/>
      <c r="D48" s="39"/>
      <c r="E48" s="39"/>
      <c r="F48" s="39"/>
      <c r="G48" s="39"/>
      <c r="H48" s="93"/>
      <c r="I48" s="107"/>
    </row>
    <row r="49" spans="1:8" x14ac:dyDescent="0.25">
      <c r="A49" s="115" t="s">
        <v>39</v>
      </c>
      <c r="B49" s="116"/>
      <c r="C49" s="36"/>
      <c r="D49" s="94">
        <v>2025</v>
      </c>
      <c r="E49" s="119" t="s">
        <v>40</v>
      </c>
      <c r="F49" s="120"/>
      <c r="G49" s="120"/>
      <c r="H49" s="121"/>
    </row>
    <row r="50" spans="1:8" s="1" customFormat="1" ht="6.75" customHeight="1" x14ac:dyDescent="0.25">
      <c r="A50" s="49"/>
      <c r="B50" s="50"/>
      <c r="C50" s="10"/>
      <c r="D50" s="95"/>
      <c r="E50" s="122"/>
      <c r="F50" s="122"/>
      <c r="G50" s="122"/>
      <c r="H50" s="123"/>
    </row>
    <row r="51" spans="1:8" s="1" customFormat="1" x14ac:dyDescent="0.25">
      <c r="A51" s="75" t="s">
        <v>41</v>
      </c>
      <c r="B51" s="54"/>
      <c r="C51" s="11"/>
      <c r="D51" s="96"/>
      <c r="E51" s="124"/>
      <c r="F51" s="122"/>
      <c r="G51" s="122"/>
      <c r="H51" s="123"/>
    </row>
    <row r="52" spans="1:8" s="1" customFormat="1" x14ac:dyDescent="0.25">
      <c r="A52" s="57"/>
      <c r="B52" s="97" t="s">
        <v>42</v>
      </c>
      <c r="C52" s="60">
        <v>23</v>
      </c>
      <c r="D52" s="98">
        <v>10000</v>
      </c>
      <c r="E52" s="125" t="s">
        <v>43</v>
      </c>
      <c r="F52" s="126"/>
      <c r="G52" s="126"/>
      <c r="H52" s="127"/>
    </row>
    <row r="53" spans="1:8" s="1" customFormat="1" x14ac:dyDescent="0.25">
      <c r="A53" s="58"/>
      <c r="B53" s="99" t="s">
        <v>44</v>
      </c>
      <c r="C53" s="64">
        <v>23</v>
      </c>
      <c r="D53" s="98">
        <v>15000</v>
      </c>
      <c r="E53" s="128" t="s">
        <v>45</v>
      </c>
      <c r="F53" s="128"/>
      <c r="G53" s="128"/>
      <c r="H53" s="129"/>
    </row>
    <row r="54" spans="1:8" s="1" customFormat="1" x14ac:dyDescent="0.25">
      <c r="A54" s="58"/>
      <c r="B54" s="100" t="s">
        <v>46</v>
      </c>
      <c r="C54" s="68">
        <v>23</v>
      </c>
      <c r="D54" s="101"/>
      <c r="E54" s="130"/>
      <c r="F54" s="130"/>
      <c r="G54" s="130"/>
      <c r="H54" s="131"/>
    </row>
    <row r="55" spans="1:8" s="1" customFormat="1" ht="15" customHeight="1" x14ac:dyDescent="0.25">
      <c r="A55" s="102"/>
      <c r="B55" s="103" t="s">
        <v>47</v>
      </c>
      <c r="C55" s="23"/>
      <c r="D55" s="104">
        <f>SUM(D52:D54)</f>
        <v>25000</v>
      </c>
      <c r="E55" s="117"/>
      <c r="F55" s="117"/>
      <c r="G55" s="117"/>
      <c r="H55" s="118"/>
    </row>
    <row r="56" spans="1:8" s="1" customFormat="1" ht="6.75" customHeight="1" x14ac:dyDescent="0.25">
      <c r="A56" s="49"/>
      <c r="B56" s="50"/>
      <c r="C56" s="51"/>
      <c r="D56" s="95"/>
      <c r="E56" s="122"/>
      <c r="F56" s="122"/>
      <c r="G56" s="122"/>
      <c r="H56" s="123"/>
    </row>
    <row r="57" spans="1:8" s="1" customFormat="1" x14ac:dyDescent="0.25">
      <c r="A57" s="105" t="s">
        <v>48</v>
      </c>
      <c r="B57" s="54"/>
      <c r="C57" s="11"/>
      <c r="D57" s="96"/>
      <c r="E57" s="124"/>
      <c r="F57" s="122"/>
      <c r="G57" s="122"/>
      <c r="H57" s="123"/>
    </row>
    <row r="58" spans="1:8" s="1" customFormat="1" x14ac:dyDescent="0.25">
      <c r="A58" s="57"/>
      <c r="B58" s="97" t="s">
        <v>65</v>
      </c>
      <c r="C58" s="60">
        <v>24</v>
      </c>
      <c r="D58" s="98">
        <v>-5000</v>
      </c>
      <c r="E58" s="125" t="s">
        <v>62</v>
      </c>
      <c r="F58" s="126"/>
      <c r="G58" s="126"/>
      <c r="H58" s="127"/>
    </row>
    <row r="59" spans="1:8" s="1" customFormat="1" ht="21" x14ac:dyDescent="0.25">
      <c r="A59" s="58"/>
      <c r="B59" s="97" t="s">
        <v>61</v>
      </c>
      <c r="C59" s="64">
        <v>24</v>
      </c>
      <c r="D59" s="98">
        <f>E47</f>
        <v>1000</v>
      </c>
      <c r="E59" s="128" t="s">
        <v>49</v>
      </c>
      <c r="F59" s="128"/>
      <c r="G59" s="128"/>
      <c r="H59" s="129"/>
    </row>
    <row r="60" spans="1:8" s="1" customFormat="1" x14ac:dyDescent="0.25">
      <c r="A60" s="58"/>
      <c r="B60" s="100" t="s">
        <v>50</v>
      </c>
      <c r="C60" s="68">
        <v>24</v>
      </c>
      <c r="D60" s="101"/>
      <c r="E60" s="130" t="s">
        <v>51</v>
      </c>
      <c r="F60" s="130"/>
      <c r="G60" s="130"/>
      <c r="H60" s="131"/>
    </row>
    <row r="61" spans="1:8" s="1" customFormat="1" ht="15" customHeight="1" x14ac:dyDescent="0.25">
      <c r="A61" s="102"/>
      <c r="B61" s="103" t="s">
        <v>64</v>
      </c>
      <c r="C61" s="23"/>
      <c r="D61" s="104">
        <f>SUM(D58:D60)</f>
        <v>-4000</v>
      </c>
      <c r="E61" s="133" t="s">
        <v>63</v>
      </c>
      <c r="F61" s="133"/>
      <c r="G61" s="133"/>
      <c r="H61" s="134"/>
    </row>
  </sheetData>
  <mergeCells count="18">
    <mergeCell ref="E61:H61"/>
    <mergeCell ref="E56:H56"/>
    <mergeCell ref="E57:H57"/>
    <mergeCell ref="E58:H58"/>
    <mergeCell ref="E59:H59"/>
    <mergeCell ref="E60:H60"/>
    <mergeCell ref="B1:B2"/>
    <mergeCell ref="A1:A3"/>
    <mergeCell ref="A10:B10"/>
    <mergeCell ref="A49:B49"/>
    <mergeCell ref="E55:H55"/>
    <mergeCell ref="E49:H49"/>
    <mergeCell ref="E50:H50"/>
    <mergeCell ref="E51:H51"/>
    <mergeCell ref="E52:H52"/>
    <mergeCell ref="E53:H53"/>
    <mergeCell ref="E54:H54"/>
    <mergeCell ref="G5:H5"/>
  </mergeCells>
  <phoneticPr fontId="2" type="noConversion"/>
  <printOptions horizontalCentered="1"/>
  <pageMargins left="0.39370078740157483" right="0.23622047244094491" top="0.39370078740157483" bottom="0.39370078740157483" header="0.23622047244094491" footer="0.23622047244094491"/>
  <pageSetup paperSize="9" scale="89" orientation="portrait" horizontalDpi="4294967292" verticalDpi="4294967292" r:id="rId1"/>
  <headerFooter alignWithMargins="0">
    <oddFooter>&amp;L&amp;"Century Gothic,Regular"&amp;8 &amp;"-,Regular"2018 UCI Continental and Women's Teams&amp;R&amp;"Century Gothic,Regular"&amp;8 1/1</oddFooter>
  </headerFooter>
  <customProperties>
    <customPr name="DVSECTIONID" r:id="rId2"/>
  </customProperties>
  <drawing r:id="rId3"/>
  <extLst>
    <ext xmlns:mx="http://schemas.microsoft.com/office/mac/excel/2008/main" uri="http://schemas.microsoft.com/office/mac/excel/2008/main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IV32"/>
  <sheetViews>
    <sheetView workbookViewId="0">
      <selection activeCell="B32" sqref="B32"/>
    </sheetView>
  </sheetViews>
  <sheetFormatPr defaultColWidth="11.453125" defaultRowHeight="12.5" x14ac:dyDescent="0.25"/>
  <sheetData>
    <row r="1" spans="1:256" x14ac:dyDescent="0.25">
      <c r="A1">
        <f>IF(Budget!1:1,"AAAAAHL7cwA=",0)</f>
        <v>0</v>
      </c>
      <c r="B1" t="e">
        <f>AND(Budget!A1,"AAAAAHL7cwE=")</f>
        <v>#VALUE!</v>
      </c>
      <c r="C1" t="e">
        <f>AND(Budget!B1,"AAAAAHL7cwI=")</f>
        <v>#VALUE!</v>
      </c>
      <c r="D1" t="e">
        <f>AND(Budget!C1,"AAAAAHL7cwM=")</f>
        <v>#VALUE!</v>
      </c>
      <c r="E1" t="e">
        <f>AND(Budget!D1,"AAAAAHL7cwQ=")</f>
        <v>#VALUE!</v>
      </c>
      <c r="F1" t="e">
        <f>AND(Budget!E1,"AAAAAHL7cwU=")</f>
        <v>#VALUE!</v>
      </c>
      <c r="G1" t="e">
        <f>AND(Budget!F1,"AAAAAHL7cwY=")</f>
        <v>#VALUE!</v>
      </c>
      <c r="H1" t="e">
        <f>AND(Budget!G1,"AAAAAHL7cwc=")</f>
        <v>#VALUE!</v>
      </c>
      <c r="I1" t="e">
        <f>AND(Budget!H1,"AAAAAHL7cwg=")</f>
        <v>#VALUE!</v>
      </c>
      <c r="J1" t="e">
        <f>AND(Budget!I1,"AAAAAHL7cwk=")</f>
        <v>#VALUE!</v>
      </c>
      <c r="K1" t="e">
        <f>AND(Budget!J1,"AAAAAHL7cwo=")</f>
        <v>#VALUE!</v>
      </c>
      <c r="L1">
        <f>IF(Budget!2:2,"AAAAAHL7cws=",0)</f>
        <v>0</v>
      </c>
      <c r="M1" t="e">
        <f>AND(Budget!A2,"AAAAAHL7cww=")</f>
        <v>#VALUE!</v>
      </c>
      <c r="N1" t="e">
        <f>AND(Budget!B2,"AAAAAHL7cw0=")</f>
        <v>#VALUE!</v>
      </c>
      <c r="O1" t="e">
        <f>AND(Budget!C2,"AAAAAHL7cw4=")</f>
        <v>#VALUE!</v>
      </c>
      <c r="P1" t="e">
        <f>AND(Budget!D2,"AAAAAHL7cw8=")</f>
        <v>#VALUE!</v>
      </c>
      <c r="Q1" t="e">
        <f>AND(Budget!E2,"AAAAAHL7cxA=")</f>
        <v>#VALUE!</v>
      </c>
      <c r="R1" t="e">
        <f>AND(Budget!F2,"AAAAAHL7cxE=")</f>
        <v>#VALUE!</v>
      </c>
      <c r="S1" t="e">
        <f>AND(Budget!G2,"AAAAAHL7cxI=")</f>
        <v>#VALUE!</v>
      </c>
      <c r="T1" t="e">
        <f>AND(Budget!H2,"AAAAAHL7cxM=")</f>
        <v>#VALUE!</v>
      </c>
      <c r="U1" t="e">
        <f>AND(Budget!I2,"AAAAAHL7cxQ=")</f>
        <v>#VALUE!</v>
      </c>
      <c r="V1" t="e">
        <f>AND(Budget!J2,"AAAAAHL7cxU=")</f>
        <v>#VALUE!</v>
      </c>
      <c r="W1">
        <f>IF(Budget!3:3,"AAAAAHL7cxY=",0)</f>
        <v>0</v>
      </c>
      <c r="X1" t="e">
        <f>AND(Budget!A3,"AAAAAHL7cxc=")</f>
        <v>#VALUE!</v>
      </c>
      <c r="Y1" t="e">
        <f>AND(Budget!B3,"AAAAAHL7cxg=")</f>
        <v>#VALUE!</v>
      </c>
      <c r="Z1" t="e">
        <f>AND(Budget!C3,"AAAAAHL7cxk=")</f>
        <v>#VALUE!</v>
      </c>
      <c r="AA1" t="e">
        <f>AND(Budget!D3,"AAAAAHL7cxo=")</f>
        <v>#VALUE!</v>
      </c>
      <c r="AB1" t="e">
        <f>AND(Budget!E3,"AAAAAHL7cxs=")</f>
        <v>#VALUE!</v>
      </c>
      <c r="AC1" t="e">
        <f>AND(Budget!F3,"AAAAAHL7cxw=")</f>
        <v>#VALUE!</v>
      </c>
      <c r="AD1" t="e">
        <f>AND(Budget!G3,"AAAAAHL7cx0=")</f>
        <v>#VALUE!</v>
      </c>
      <c r="AE1" t="e">
        <f>AND(Budget!H3,"AAAAAHL7cx4=")</f>
        <v>#VALUE!</v>
      </c>
      <c r="AF1" t="e">
        <f>AND(Budget!I3,"AAAAAHL7cx8=")</f>
        <v>#VALUE!</v>
      </c>
      <c r="AG1" t="e">
        <f>AND(Budget!J3,"AAAAAHL7cyA=")</f>
        <v>#VALUE!</v>
      </c>
      <c r="AH1">
        <f>IF(Budget!4:4,"AAAAAHL7cyE=",0)</f>
        <v>0</v>
      </c>
      <c r="AI1" t="e">
        <f>AND(Budget!A4,"AAAAAHL7cyI=")</f>
        <v>#VALUE!</v>
      </c>
      <c r="AJ1" t="e">
        <f>AND(Budget!B4,"AAAAAHL7cyM=")</f>
        <v>#VALUE!</v>
      </c>
      <c r="AK1" t="e">
        <f>AND(Budget!C4,"AAAAAHL7cyQ=")</f>
        <v>#VALUE!</v>
      </c>
      <c r="AL1" t="e">
        <f>AND(Budget!D4,"AAAAAHL7cyU=")</f>
        <v>#VALUE!</v>
      </c>
      <c r="AM1" t="e">
        <f>AND(Budget!E4,"AAAAAHL7cyY=")</f>
        <v>#VALUE!</v>
      </c>
      <c r="AN1" t="e">
        <f>AND(Budget!F4,"AAAAAHL7cyc=")</f>
        <v>#VALUE!</v>
      </c>
      <c r="AO1" t="e">
        <f>AND(Budget!G4,"AAAAAHL7cyg=")</f>
        <v>#VALUE!</v>
      </c>
      <c r="AP1" t="e">
        <f>AND(Budget!H4,"AAAAAHL7cyk=")</f>
        <v>#VALUE!</v>
      </c>
      <c r="AQ1" t="e">
        <f>AND(Budget!I4,"AAAAAHL7cyo=")</f>
        <v>#VALUE!</v>
      </c>
      <c r="AR1" t="e">
        <f>AND(Budget!J4,"AAAAAHL7cys=")</f>
        <v>#VALUE!</v>
      </c>
      <c r="AS1">
        <f>IF(Budget!5:5,"AAAAAHL7cyw=",0)</f>
        <v>0</v>
      </c>
      <c r="AT1" t="e">
        <f>AND(Budget!A5,"AAAAAHL7cy0=")</f>
        <v>#VALUE!</v>
      </c>
      <c r="AU1" t="e">
        <f>AND(Budget!B5,"AAAAAHL7cy4=")</f>
        <v>#VALUE!</v>
      </c>
      <c r="AV1" t="e">
        <f>AND(Budget!C5,"AAAAAHL7cy8=")</f>
        <v>#VALUE!</v>
      </c>
      <c r="AW1" t="e">
        <f>AND(Budget!D5,"AAAAAHL7czA=")</f>
        <v>#VALUE!</v>
      </c>
      <c r="AX1" t="e">
        <f>AND(Budget!E5,"AAAAAHL7czE=")</f>
        <v>#VALUE!</v>
      </c>
      <c r="AY1" t="e">
        <f>AND(Budget!F5,"AAAAAHL7czI=")</f>
        <v>#VALUE!</v>
      </c>
      <c r="AZ1" t="e">
        <f>AND(Budget!G5,"AAAAAHL7czM=")</f>
        <v>#VALUE!</v>
      </c>
      <c r="BA1" t="e">
        <f>AND(Budget!H5,"AAAAAHL7czQ=")</f>
        <v>#VALUE!</v>
      </c>
      <c r="BB1" t="e">
        <f>AND(Budget!I5,"AAAAAHL7czU=")</f>
        <v>#VALUE!</v>
      </c>
      <c r="BC1" t="e">
        <f>AND(Budget!J5,"AAAAAHL7czY=")</f>
        <v>#VALUE!</v>
      </c>
      <c r="BD1">
        <f>IF(Budget!6:6,"AAAAAHL7czc=",0)</f>
        <v>0</v>
      </c>
      <c r="BE1" t="e">
        <f>AND(Budget!A6,"AAAAAHL7czg=")</f>
        <v>#VALUE!</v>
      </c>
      <c r="BF1" t="e">
        <f>AND(Budget!B6,"AAAAAHL7czk=")</f>
        <v>#VALUE!</v>
      </c>
      <c r="BG1" t="e">
        <f>AND(Budget!C6,"AAAAAHL7czo=")</f>
        <v>#VALUE!</v>
      </c>
      <c r="BH1" t="e">
        <f>AND(Budget!D6,"AAAAAHL7czs=")</f>
        <v>#VALUE!</v>
      </c>
      <c r="BI1" t="e">
        <f>AND(Budget!E6,"AAAAAHL7czw=")</f>
        <v>#VALUE!</v>
      </c>
      <c r="BJ1" t="e">
        <f>AND(Budget!F6,"AAAAAHL7cz0=")</f>
        <v>#VALUE!</v>
      </c>
      <c r="BK1" t="e">
        <f>AND(Budget!G6,"AAAAAHL7cz4=")</f>
        <v>#VALUE!</v>
      </c>
      <c r="BL1" t="e">
        <f>AND(Budget!H6,"AAAAAHL7cz8=")</f>
        <v>#VALUE!</v>
      </c>
      <c r="BM1" t="e">
        <f>AND(Budget!I6,"AAAAAHL7c0A=")</f>
        <v>#VALUE!</v>
      </c>
      <c r="BN1" t="e">
        <f>AND(Budget!J6,"AAAAAHL7c0E=")</f>
        <v>#VALUE!</v>
      </c>
      <c r="BO1">
        <f>IF(Budget!7:7,"AAAAAHL7c0I=",0)</f>
        <v>0</v>
      </c>
      <c r="BP1" t="e">
        <f>AND(Budget!A7,"AAAAAHL7c0M=")</f>
        <v>#VALUE!</v>
      </c>
      <c r="BQ1" t="e">
        <f>AND(Budget!B7,"AAAAAHL7c0Q=")</f>
        <v>#VALUE!</v>
      </c>
      <c r="BR1" t="e">
        <f>AND(Budget!C7,"AAAAAHL7c0U=")</f>
        <v>#VALUE!</v>
      </c>
      <c r="BS1" t="e">
        <f>AND(Budget!D7,"AAAAAHL7c0Y=")</f>
        <v>#VALUE!</v>
      </c>
      <c r="BT1" t="e">
        <f>AND(Budget!E7,"AAAAAHL7c0c=")</f>
        <v>#VALUE!</v>
      </c>
      <c r="BU1" t="e">
        <f>AND(Budget!F7,"AAAAAHL7c0g=")</f>
        <v>#VALUE!</v>
      </c>
      <c r="BV1" t="b">
        <f>AND(Budget!G7,"AAAAAHL7c0k=")</f>
        <v>1</v>
      </c>
      <c r="BW1" t="e">
        <f>AND(Budget!H7,"AAAAAHL7c0o=")</f>
        <v>#VALUE!</v>
      </c>
      <c r="BX1" t="e">
        <f>AND(Budget!I7,"AAAAAHL7c0s=")</f>
        <v>#VALUE!</v>
      </c>
      <c r="BY1" t="e">
        <f>AND(Budget!J7,"AAAAAHL7c0w=")</f>
        <v>#VALUE!</v>
      </c>
      <c r="BZ1">
        <f>IF(Budget!8:8,"AAAAAHL7c00=",0)</f>
        <v>0</v>
      </c>
      <c r="CA1" t="e">
        <f>AND(Budget!A8,"AAAAAHL7c04=")</f>
        <v>#VALUE!</v>
      </c>
      <c r="CB1" t="e">
        <f>AND(Budget!B8,"AAAAAHL7c08=")</f>
        <v>#VALUE!</v>
      </c>
      <c r="CC1" t="e">
        <f>AND(Budget!C8,"AAAAAHL7c1A=")</f>
        <v>#VALUE!</v>
      </c>
      <c r="CD1" t="e">
        <f>AND(Budget!D8,"AAAAAHL7c1E=")</f>
        <v>#VALUE!</v>
      </c>
      <c r="CE1" t="e">
        <f>AND(Budget!E8,"AAAAAHL7c1I=")</f>
        <v>#VALUE!</v>
      </c>
      <c r="CF1" t="e">
        <f>AND(Budget!F8,"AAAAAHL7c1M=")</f>
        <v>#VALUE!</v>
      </c>
      <c r="CG1" t="b">
        <f>AND(Budget!G8,"AAAAAHL7c1Q=")</f>
        <v>1</v>
      </c>
      <c r="CH1" t="e">
        <f>AND(Budget!H8,"AAAAAHL7c1U=")</f>
        <v>#VALUE!</v>
      </c>
      <c r="CI1" t="e">
        <f>AND(Budget!I8,"AAAAAHL7c1Y=")</f>
        <v>#VALUE!</v>
      </c>
      <c r="CJ1" t="e">
        <f>AND(Budget!J8,"AAAAAHL7c1c=")</f>
        <v>#VALUE!</v>
      </c>
      <c r="CK1">
        <f>IF(Budget!9:9,"AAAAAHL7c1g=",0)</f>
        <v>0</v>
      </c>
      <c r="CL1" t="e">
        <f>AND(Budget!A9,"AAAAAHL7c1k=")</f>
        <v>#VALUE!</v>
      </c>
      <c r="CM1" t="e">
        <f>AND(Budget!B9,"AAAAAHL7c1o=")</f>
        <v>#VALUE!</v>
      </c>
      <c r="CN1" t="e">
        <f>AND(Budget!C9,"AAAAAHL7c1s=")</f>
        <v>#VALUE!</v>
      </c>
      <c r="CO1" t="e">
        <f>AND(Budget!D9,"AAAAAHL7c1w=")</f>
        <v>#VALUE!</v>
      </c>
      <c r="CP1" t="e">
        <f>AND(Budget!E9,"AAAAAHL7c10=")</f>
        <v>#VALUE!</v>
      </c>
      <c r="CQ1" t="e">
        <f>AND(Budget!F9,"AAAAAHL7c14=")</f>
        <v>#VALUE!</v>
      </c>
      <c r="CR1" t="e">
        <f>AND(Budget!G9,"AAAAAHL7c18=")</f>
        <v>#VALUE!</v>
      </c>
      <c r="CS1" t="e">
        <f>AND(Budget!H9,"AAAAAHL7c2A=")</f>
        <v>#VALUE!</v>
      </c>
      <c r="CT1" t="e">
        <f>AND(Budget!I9,"AAAAAHL7c2E=")</f>
        <v>#VALUE!</v>
      </c>
      <c r="CU1" t="e">
        <f>AND(Budget!J9,"AAAAAHL7c2I=")</f>
        <v>#VALUE!</v>
      </c>
      <c r="CV1">
        <f>IF(Budget!10:10,"AAAAAHL7c2M=",0)</f>
        <v>0</v>
      </c>
      <c r="CW1" t="e">
        <f>AND(Budget!A10,"AAAAAHL7c2Q=")</f>
        <v>#VALUE!</v>
      </c>
      <c r="CX1" t="e">
        <f>AND(Budget!B10,"AAAAAHL7c2U=")</f>
        <v>#VALUE!</v>
      </c>
      <c r="CY1" t="e">
        <f>AND(Budget!C10,"AAAAAHL7c2Y=")</f>
        <v>#VALUE!</v>
      </c>
      <c r="CZ1" t="e">
        <f>AND(Budget!D10,"AAAAAHL7c2c=")</f>
        <v>#VALUE!</v>
      </c>
      <c r="DA1" t="e">
        <f>AND(Budget!E10,"AAAAAHL7c2g=")</f>
        <v>#VALUE!</v>
      </c>
      <c r="DB1" t="e">
        <f>AND(Budget!F10,"AAAAAHL7c2k=")</f>
        <v>#VALUE!</v>
      </c>
      <c r="DC1" t="e">
        <f>AND(Budget!G10,"AAAAAHL7c2o=")</f>
        <v>#VALUE!</v>
      </c>
      <c r="DD1" t="e">
        <f>AND(Budget!H10,"AAAAAHL7c2s=")</f>
        <v>#VALUE!</v>
      </c>
      <c r="DE1" t="e">
        <f>AND(Budget!I10,"AAAAAHL7c2w=")</f>
        <v>#VALUE!</v>
      </c>
      <c r="DF1" t="e">
        <f>AND(Budget!J10,"AAAAAHL7c20=")</f>
        <v>#VALUE!</v>
      </c>
      <c r="DG1">
        <f>IF(Budget!11:11,"AAAAAHL7c24=",0)</f>
        <v>0</v>
      </c>
      <c r="DH1" t="e">
        <f>AND(Budget!A11,"AAAAAHL7c28=")</f>
        <v>#VALUE!</v>
      </c>
      <c r="DI1" t="e">
        <f>AND(Budget!B11,"AAAAAHL7c3A=")</f>
        <v>#VALUE!</v>
      </c>
      <c r="DJ1" t="e">
        <f>AND(Budget!C11,"AAAAAHL7c3E=")</f>
        <v>#VALUE!</v>
      </c>
      <c r="DK1" t="e">
        <f>AND(Budget!D11,"AAAAAHL7c3I=")</f>
        <v>#VALUE!</v>
      </c>
      <c r="DL1" t="e">
        <f>AND(Budget!E11,"AAAAAHL7c3M=")</f>
        <v>#VALUE!</v>
      </c>
      <c r="DM1" t="e">
        <f>AND(Budget!F11,"AAAAAHL7c3Q=")</f>
        <v>#VALUE!</v>
      </c>
      <c r="DN1" t="e">
        <f>AND(Budget!G11,"AAAAAHL7c3U=")</f>
        <v>#VALUE!</v>
      </c>
      <c r="DO1" t="e">
        <f>AND(Budget!H11,"AAAAAHL7c3Y=")</f>
        <v>#VALUE!</v>
      </c>
      <c r="DP1" t="e">
        <f>AND(Budget!I11,"AAAAAHL7c3c=")</f>
        <v>#VALUE!</v>
      </c>
      <c r="DQ1" t="e">
        <f>AND(Budget!J11,"AAAAAHL7c3g=")</f>
        <v>#VALUE!</v>
      </c>
      <c r="DR1">
        <f>IF(Budget!12:12,"AAAAAHL7c3k=",0)</f>
        <v>0</v>
      </c>
      <c r="DS1" t="e">
        <f>AND(Budget!A12,"AAAAAHL7c3o=")</f>
        <v>#VALUE!</v>
      </c>
      <c r="DT1" t="e">
        <f>AND(Budget!B12,"AAAAAHL7c3s=")</f>
        <v>#VALUE!</v>
      </c>
      <c r="DU1" t="e">
        <f>AND(Budget!C12,"AAAAAHL7c3w=")</f>
        <v>#VALUE!</v>
      </c>
      <c r="DV1" t="e">
        <f>AND(Budget!D12,"AAAAAHL7c30=")</f>
        <v>#VALUE!</v>
      </c>
      <c r="DW1" t="e">
        <f>AND(Budget!E12,"AAAAAHL7c34=")</f>
        <v>#VALUE!</v>
      </c>
      <c r="DX1" t="e">
        <f>AND(Budget!F12,"AAAAAHL7c38=")</f>
        <v>#VALUE!</v>
      </c>
      <c r="DY1" t="e">
        <f>AND(Budget!G12,"AAAAAHL7c4A=")</f>
        <v>#VALUE!</v>
      </c>
      <c r="DZ1" t="e">
        <f>AND(Budget!H12,"AAAAAHL7c4E=")</f>
        <v>#VALUE!</v>
      </c>
      <c r="EA1" t="e">
        <f>AND(Budget!I12,"AAAAAHL7c4I=")</f>
        <v>#VALUE!</v>
      </c>
      <c r="EB1" t="e">
        <f>AND(Budget!J12,"AAAAAHL7c4M=")</f>
        <v>#VALUE!</v>
      </c>
      <c r="EC1">
        <f>IF(Budget!13:13,"AAAAAHL7c4Q=",0)</f>
        <v>0</v>
      </c>
      <c r="ED1" t="e">
        <f>AND(Budget!A13,"AAAAAHL7c4U=")</f>
        <v>#VALUE!</v>
      </c>
      <c r="EE1" t="e">
        <f>AND(Budget!B13,"AAAAAHL7c4Y=")</f>
        <v>#VALUE!</v>
      </c>
      <c r="EF1" t="e">
        <f>AND(Budget!C13,"AAAAAHL7c4c=")</f>
        <v>#VALUE!</v>
      </c>
      <c r="EG1" t="e">
        <f>AND(Budget!D13,"AAAAAHL7c4g=")</f>
        <v>#VALUE!</v>
      </c>
      <c r="EH1" t="e">
        <f>AND(Budget!E13,"AAAAAHL7c4k=")</f>
        <v>#VALUE!</v>
      </c>
      <c r="EI1" t="e">
        <f>AND(Budget!F13,"AAAAAHL7c4o=")</f>
        <v>#VALUE!</v>
      </c>
      <c r="EJ1" t="e">
        <f>AND(Budget!G13,"AAAAAHL7c4s=")</f>
        <v>#VALUE!</v>
      </c>
      <c r="EK1" t="e">
        <f>AND(Budget!H13,"AAAAAHL7c4w=")</f>
        <v>#VALUE!</v>
      </c>
      <c r="EL1" t="e">
        <f>AND(Budget!I13,"AAAAAHL7c40=")</f>
        <v>#VALUE!</v>
      </c>
      <c r="EM1" t="e">
        <f>AND(Budget!J13,"AAAAAHL7c44=")</f>
        <v>#VALUE!</v>
      </c>
      <c r="EN1">
        <f>IF(Budget!14:14,"AAAAAHL7c48=",0)</f>
        <v>0</v>
      </c>
      <c r="EO1" t="e">
        <f>AND(Budget!A14,"AAAAAHL7c5A=")</f>
        <v>#VALUE!</v>
      </c>
      <c r="EP1" t="e">
        <f>AND(Budget!B14,"AAAAAHL7c5E=")</f>
        <v>#VALUE!</v>
      </c>
      <c r="EQ1" t="b">
        <f>AND(Budget!C14,"AAAAAHL7c5I=")</f>
        <v>1</v>
      </c>
      <c r="ER1" t="b">
        <f>AND(Budget!D14,"AAAAAHL7c5M=")</f>
        <v>1</v>
      </c>
      <c r="ES1" t="b">
        <f>AND(Budget!E14,"AAAAAHL7c5Q=")</f>
        <v>1</v>
      </c>
      <c r="ET1" t="b">
        <f>AND(Budget!F14,"AAAAAHL7c5U=")</f>
        <v>1</v>
      </c>
      <c r="EU1" t="b">
        <f>AND(Budget!G14,"AAAAAHL7c5Y=")</f>
        <v>1</v>
      </c>
      <c r="EV1" t="e">
        <f>AND(Budget!H14,"AAAAAHL7c5c=")</f>
        <v>#VALUE!</v>
      </c>
      <c r="EW1" t="e">
        <f>AND(Budget!I14,"AAAAAHL7c5g=")</f>
        <v>#VALUE!</v>
      </c>
      <c r="EX1" t="e">
        <f>AND(Budget!J14,"AAAAAHL7c5k=")</f>
        <v>#VALUE!</v>
      </c>
      <c r="EY1">
        <f>IF(Budget!15:15,"AAAAAHL7c5o=",0)</f>
        <v>0</v>
      </c>
      <c r="EZ1" t="e">
        <f>AND(Budget!A15,"AAAAAHL7c5s=")</f>
        <v>#VALUE!</v>
      </c>
      <c r="FA1" t="e">
        <f>AND(Budget!B15,"AAAAAHL7c5w=")</f>
        <v>#VALUE!</v>
      </c>
      <c r="FB1" t="b">
        <f>AND(Budget!C15,"AAAAAHL7c50=")</f>
        <v>1</v>
      </c>
      <c r="FC1" t="b">
        <f>AND(Budget!D15,"AAAAAHL7c54=")</f>
        <v>1</v>
      </c>
      <c r="FD1" t="b">
        <f>AND(Budget!E15,"AAAAAHL7c58=")</f>
        <v>1</v>
      </c>
      <c r="FE1" t="b">
        <f>AND(Budget!F15,"AAAAAHL7c6A=")</f>
        <v>1</v>
      </c>
      <c r="FF1" t="b">
        <f>AND(Budget!G15,"AAAAAHL7c6E=")</f>
        <v>1</v>
      </c>
      <c r="FG1" t="e">
        <f>AND(Budget!H15,"AAAAAHL7c6I=")</f>
        <v>#VALUE!</v>
      </c>
      <c r="FH1" t="e">
        <f>AND(Budget!I15,"AAAAAHL7c6M=")</f>
        <v>#VALUE!</v>
      </c>
      <c r="FI1" t="e">
        <f>AND(Budget!J15,"AAAAAHL7c6Q=")</f>
        <v>#VALUE!</v>
      </c>
      <c r="FJ1">
        <f>IF(Budget!16:16,"AAAAAHL7c6U=",0)</f>
        <v>0</v>
      </c>
      <c r="FK1" t="e">
        <f>AND(Budget!A16,"AAAAAHL7c6Y=")</f>
        <v>#VALUE!</v>
      </c>
      <c r="FL1" t="e">
        <f>AND(Budget!B16,"AAAAAHL7c6c=")</f>
        <v>#VALUE!</v>
      </c>
      <c r="FM1" t="b">
        <f>AND(Budget!C16,"AAAAAHL7c6g=")</f>
        <v>1</v>
      </c>
      <c r="FN1" t="e">
        <f>AND(Budget!D16,"AAAAAHL7c6k=")</f>
        <v>#VALUE!</v>
      </c>
      <c r="FO1" t="e">
        <f>AND(Budget!E16,"AAAAAHL7c6o=")</f>
        <v>#VALUE!</v>
      </c>
      <c r="FP1" t="e">
        <f>AND(Budget!F16,"AAAAAHL7c6s=")</f>
        <v>#VALUE!</v>
      </c>
      <c r="FQ1" t="e">
        <f>AND(Budget!G16,"AAAAAHL7c6w=")</f>
        <v>#VALUE!</v>
      </c>
      <c r="FR1" t="e">
        <f>AND(Budget!H16,"AAAAAHL7c60=")</f>
        <v>#VALUE!</v>
      </c>
      <c r="FS1" t="e">
        <f>AND(Budget!I16,"AAAAAHL7c64=")</f>
        <v>#VALUE!</v>
      </c>
      <c r="FT1" t="e">
        <f>AND(Budget!J16,"AAAAAHL7c68=")</f>
        <v>#VALUE!</v>
      </c>
      <c r="FU1">
        <f>IF(Budget!17:17,"AAAAAHL7c7A=",0)</f>
        <v>0</v>
      </c>
      <c r="FV1" t="e">
        <f>AND(Budget!A17,"AAAAAHL7c7E=")</f>
        <v>#VALUE!</v>
      </c>
      <c r="FW1" t="e">
        <f>AND(Budget!B17,"AAAAAHL7c7I=")</f>
        <v>#VALUE!</v>
      </c>
      <c r="FX1" t="b">
        <f>AND(Budget!C17,"AAAAAHL7c7M=")</f>
        <v>1</v>
      </c>
      <c r="FY1" t="b">
        <f>AND(Budget!D17,"AAAAAHL7c7Q=")</f>
        <v>1</v>
      </c>
      <c r="FZ1" t="b">
        <f>AND(Budget!E17,"AAAAAHL7c7U=")</f>
        <v>1</v>
      </c>
      <c r="GA1" t="b">
        <f>AND(Budget!F17,"AAAAAHL7c7Y=")</f>
        <v>1</v>
      </c>
      <c r="GB1" t="b">
        <f>AND(Budget!G17,"AAAAAHL7c7c=")</f>
        <v>1</v>
      </c>
      <c r="GC1" t="e">
        <f>AND(Budget!H17,"AAAAAHL7c7g=")</f>
        <v>#VALUE!</v>
      </c>
      <c r="GD1" t="e">
        <f>AND(Budget!I17,"AAAAAHL7c7k=")</f>
        <v>#VALUE!</v>
      </c>
      <c r="GE1" t="e">
        <f>AND(Budget!J17,"AAAAAHL7c7o=")</f>
        <v>#VALUE!</v>
      </c>
      <c r="GF1">
        <f>IF(Budget!18:18,"AAAAAHL7c7s=",0)</f>
        <v>0</v>
      </c>
      <c r="GG1" t="e">
        <f>AND(Budget!A18,"AAAAAHL7c7w=")</f>
        <v>#VALUE!</v>
      </c>
      <c r="GH1" t="e">
        <f>AND(Budget!B18,"AAAAAHL7c70=")</f>
        <v>#VALUE!</v>
      </c>
      <c r="GI1" t="b">
        <f>AND(Budget!C18,"AAAAAHL7c74=")</f>
        <v>1</v>
      </c>
      <c r="GJ1" t="e">
        <f>AND(Budget!D18,"AAAAAHL7c78=")</f>
        <v>#VALUE!</v>
      </c>
      <c r="GK1" t="e">
        <f>AND(Budget!E18,"AAAAAHL7c8A=")</f>
        <v>#VALUE!</v>
      </c>
      <c r="GL1" t="b">
        <f>AND(Budget!F18,"AAAAAHL7c8E=")</f>
        <v>0</v>
      </c>
      <c r="GM1" t="e">
        <f>AND(Budget!G18,"AAAAAHL7c8I=")</f>
        <v>#VALUE!</v>
      </c>
      <c r="GN1" t="e">
        <f>AND(Budget!H18,"AAAAAHL7c8M=")</f>
        <v>#VALUE!</v>
      </c>
      <c r="GO1" t="e">
        <f>AND(Budget!I18,"AAAAAHL7c8Q=")</f>
        <v>#VALUE!</v>
      </c>
      <c r="GP1" t="e">
        <f>AND(Budget!J18,"AAAAAHL7c8U=")</f>
        <v>#VALUE!</v>
      </c>
      <c r="GQ1">
        <f>IF(Budget!19:19,"AAAAAHL7c8Y=",0)</f>
        <v>0</v>
      </c>
      <c r="GR1" t="e">
        <f>AND(Budget!A19,"AAAAAHL7c8c=")</f>
        <v>#VALUE!</v>
      </c>
      <c r="GS1" t="e">
        <f>AND(Budget!B19,"AAAAAHL7c8g=")</f>
        <v>#VALUE!</v>
      </c>
      <c r="GT1" t="e">
        <f>AND(Budget!C19,"AAAAAHL7c8k=")</f>
        <v>#VALUE!</v>
      </c>
      <c r="GU1" t="b">
        <f>AND(Budget!D19,"AAAAAHL7c8o=")</f>
        <v>1</v>
      </c>
      <c r="GV1" t="b">
        <f>AND(Budget!E19,"AAAAAHL7c8s=")</f>
        <v>1</v>
      </c>
      <c r="GW1" t="b">
        <f>AND(Budget!F19,"AAAAAHL7c8w=")</f>
        <v>1</v>
      </c>
      <c r="GX1" t="b">
        <f>AND(Budget!G19,"AAAAAHL7c80=")</f>
        <v>1</v>
      </c>
      <c r="GY1" t="e">
        <f>AND(Budget!H19,"AAAAAHL7c84=")</f>
        <v>#VALUE!</v>
      </c>
      <c r="GZ1" t="e">
        <f>AND(Budget!I19,"AAAAAHL7c88=")</f>
        <v>#VALUE!</v>
      </c>
      <c r="HA1" t="e">
        <f>AND(Budget!J19,"AAAAAHL7c9A=")</f>
        <v>#VALUE!</v>
      </c>
      <c r="HB1">
        <f>IF(Budget!20:20,"AAAAAHL7c9E=",0)</f>
        <v>0</v>
      </c>
      <c r="HC1" t="e">
        <f>AND(Budget!A20,"AAAAAHL7c9I=")</f>
        <v>#VALUE!</v>
      </c>
      <c r="HD1" t="e">
        <f>AND(Budget!B20,"AAAAAHL7c9M=")</f>
        <v>#VALUE!</v>
      </c>
      <c r="HE1" t="e">
        <f>AND(Budget!C20,"AAAAAHL7c9Q=")</f>
        <v>#VALUE!</v>
      </c>
      <c r="HF1" t="e">
        <f>AND(Budget!D20,"AAAAAHL7c9U=")</f>
        <v>#VALUE!</v>
      </c>
      <c r="HG1" t="e">
        <f>AND(Budget!E20,"AAAAAHL7c9Y=")</f>
        <v>#VALUE!</v>
      </c>
      <c r="HH1" t="e">
        <f>AND(Budget!F20,"AAAAAHL7c9c=")</f>
        <v>#VALUE!</v>
      </c>
      <c r="HI1" t="e">
        <f>AND(Budget!G20,"AAAAAHL7c9g=")</f>
        <v>#VALUE!</v>
      </c>
      <c r="HJ1" t="e">
        <f>AND(Budget!H20,"AAAAAHL7c9k=")</f>
        <v>#VALUE!</v>
      </c>
      <c r="HK1" t="e">
        <f>AND(Budget!I20,"AAAAAHL7c9o=")</f>
        <v>#VALUE!</v>
      </c>
      <c r="HL1" t="e">
        <f>AND(Budget!J20,"AAAAAHL7c9s=")</f>
        <v>#VALUE!</v>
      </c>
      <c r="HM1">
        <f>IF(Budget!21:21,"AAAAAHL7c9w=",0)</f>
        <v>0</v>
      </c>
      <c r="HN1" t="e">
        <f>AND(Budget!A21,"AAAAAHL7c90=")</f>
        <v>#VALUE!</v>
      </c>
      <c r="HO1" t="e">
        <f>AND(Budget!B21,"AAAAAHL7c94=")</f>
        <v>#VALUE!</v>
      </c>
      <c r="HP1" t="e">
        <f>AND(Budget!C21,"AAAAAHL7c98=")</f>
        <v>#VALUE!</v>
      </c>
      <c r="HQ1" t="e">
        <f>AND(Budget!D21,"AAAAAHL7c+A=")</f>
        <v>#VALUE!</v>
      </c>
      <c r="HR1" t="e">
        <f>AND(Budget!E21,"AAAAAHL7c+E=")</f>
        <v>#VALUE!</v>
      </c>
      <c r="HS1" t="e">
        <f>AND(Budget!F21,"AAAAAHL7c+I=")</f>
        <v>#VALUE!</v>
      </c>
      <c r="HT1" t="e">
        <f>AND(Budget!G21,"AAAAAHL7c+M=")</f>
        <v>#VALUE!</v>
      </c>
      <c r="HU1" t="e">
        <f>AND(Budget!H21,"AAAAAHL7c+Q=")</f>
        <v>#VALUE!</v>
      </c>
      <c r="HV1" t="e">
        <f>AND(Budget!I21,"AAAAAHL7c+U=")</f>
        <v>#VALUE!</v>
      </c>
      <c r="HW1" t="e">
        <f>AND(Budget!J21,"AAAAAHL7c+Y=")</f>
        <v>#VALUE!</v>
      </c>
      <c r="HX1">
        <f>IF(Budget!22:22,"AAAAAHL7c+c=",0)</f>
        <v>0</v>
      </c>
      <c r="HY1" t="e">
        <f>AND(Budget!A22,"AAAAAHL7c+g=")</f>
        <v>#VALUE!</v>
      </c>
      <c r="HZ1" t="e">
        <f>AND(Budget!B22,"AAAAAHL7c+k=")</f>
        <v>#VALUE!</v>
      </c>
      <c r="IA1" t="e">
        <f>AND(Budget!C22,"AAAAAHL7c+o=")</f>
        <v>#VALUE!</v>
      </c>
      <c r="IB1" t="e">
        <f>AND(Budget!D22,"AAAAAHL7c+s=")</f>
        <v>#VALUE!</v>
      </c>
      <c r="IC1" t="e">
        <f>AND(Budget!E22,"AAAAAHL7c+w=")</f>
        <v>#VALUE!</v>
      </c>
      <c r="ID1" t="e">
        <f>AND(Budget!F22,"AAAAAHL7c+0=")</f>
        <v>#VALUE!</v>
      </c>
      <c r="IE1" t="e">
        <f>AND(Budget!G22,"AAAAAHL7c+4=")</f>
        <v>#VALUE!</v>
      </c>
      <c r="IF1" t="e">
        <f>AND(Budget!H22,"AAAAAHL7c+8=")</f>
        <v>#VALUE!</v>
      </c>
      <c r="IG1" t="e">
        <f>AND(Budget!I22,"AAAAAHL7c/A=")</f>
        <v>#VALUE!</v>
      </c>
      <c r="IH1" t="e">
        <f>AND(Budget!J22,"AAAAAHL7c/E=")</f>
        <v>#VALUE!</v>
      </c>
      <c r="II1">
        <f>IF(Budget!23:23,"AAAAAHL7c/I=",0)</f>
        <v>0</v>
      </c>
      <c r="IJ1" t="e">
        <f>AND(Budget!A23,"AAAAAHL7c/M=")</f>
        <v>#VALUE!</v>
      </c>
      <c r="IK1" t="e">
        <f>AND(Budget!B23,"AAAAAHL7c/Q=")</f>
        <v>#VALUE!</v>
      </c>
      <c r="IL1" t="b">
        <f>AND(Budget!C23,"AAAAAHL7c/U=")</f>
        <v>1</v>
      </c>
      <c r="IM1" t="b">
        <f>AND(Budget!D23,"AAAAAHL7c/Y=")</f>
        <v>1</v>
      </c>
      <c r="IN1" t="b">
        <f>AND(Budget!E23,"AAAAAHL7c/c=")</f>
        <v>1</v>
      </c>
      <c r="IO1" t="b">
        <f>AND(Budget!F23,"AAAAAHL7c/g=")</f>
        <v>1</v>
      </c>
      <c r="IP1" t="b">
        <f>AND(Budget!G23,"AAAAAHL7c/k=")</f>
        <v>1</v>
      </c>
      <c r="IQ1" t="e">
        <f>AND(Budget!H23,"AAAAAHL7c/o=")</f>
        <v>#VALUE!</v>
      </c>
      <c r="IR1" t="e">
        <f>AND(Budget!I23,"AAAAAHL7c/s=")</f>
        <v>#VALUE!</v>
      </c>
      <c r="IS1" t="e">
        <f>AND(Budget!J23,"AAAAAHL7c/w=")</f>
        <v>#VALUE!</v>
      </c>
      <c r="IT1">
        <f>IF(Budget!24:24,"AAAAAHL7c/0=",0)</f>
        <v>0</v>
      </c>
      <c r="IU1" t="e">
        <f>AND(Budget!A24,"AAAAAHL7c/4=")</f>
        <v>#VALUE!</v>
      </c>
      <c r="IV1" t="e">
        <f>AND(Budget!B24,"AAAAAHL7c/8=")</f>
        <v>#VALUE!</v>
      </c>
    </row>
    <row r="2" spans="1:256" x14ac:dyDescent="0.25">
      <c r="A2" t="b">
        <f>AND(Budget!C24,"AAAAACX6ewA=")</f>
        <v>1</v>
      </c>
      <c r="B2" t="b">
        <f>AND(Budget!D24,"AAAAACX6ewE=")</f>
        <v>1</v>
      </c>
      <c r="C2" t="b">
        <f>AND(Budget!E24,"AAAAACX6ewI=")</f>
        <v>1</v>
      </c>
      <c r="D2" t="b">
        <f>AND(Budget!F24,"AAAAACX6ewM=")</f>
        <v>1</v>
      </c>
      <c r="E2" t="b">
        <f>AND(Budget!G24,"AAAAACX6ewQ=")</f>
        <v>1</v>
      </c>
      <c r="F2" t="e">
        <f>AND(Budget!H24,"AAAAACX6ewU=")</f>
        <v>#VALUE!</v>
      </c>
      <c r="G2" t="e">
        <f>AND(Budget!I24,"AAAAACX6ewY=")</f>
        <v>#VALUE!</v>
      </c>
      <c r="H2" t="e">
        <f>AND(Budget!J24,"AAAAACX6ewc=")</f>
        <v>#VALUE!</v>
      </c>
      <c r="I2">
        <f>IF(Budget!25:25,"AAAAACX6ewg=",0)</f>
        <v>0</v>
      </c>
      <c r="J2" t="e">
        <f>AND(Budget!A25,"AAAAACX6ewk=")</f>
        <v>#VALUE!</v>
      </c>
      <c r="K2" t="e">
        <f>AND(Budget!B25,"AAAAACX6ewo=")</f>
        <v>#VALUE!</v>
      </c>
      <c r="L2" t="b">
        <f>AND(Budget!C25,"AAAAACX6ews=")</f>
        <v>1</v>
      </c>
      <c r="M2" t="e">
        <f>AND(Budget!D25,"AAAAACX6eww=")</f>
        <v>#VALUE!</v>
      </c>
      <c r="N2" t="e">
        <f>AND(Budget!E25,"AAAAACX6ew0=")</f>
        <v>#VALUE!</v>
      </c>
      <c r="O2" t="e">
        <f>AND(Budget!F25,"AAAAACX6ew4=")</f>
        <v>#VALUE!</v>
      </c>
      <c r="P2" t="e">
        <f>AND(Budget!G25,"AAAAACX6ew8=")</f>
        <v>#VALUE!</v>
      </c>
      <c r="Q2" t="e">
        <f>AND(Budget!H25,"AAAAACX6exA=")</f>
        <v>#VALUE!</v>
      </c>
      <c r="R2" t="e">
        <f>AND(Budget!I25,"AAAAACX6exE=")</f>
        <v>#VALUE!</v>
      </c>
      <c r="S2" t="e">
        <f>AND(Budget!J25,"AAAAACX6exI=")</f>
        <v>#VALUE!</v>
      </c>
      <c r="T2">
        <f>IF(Budget!26:26,"AAAAACX6exM=",0)</f>
        <v>0</v>
      </c>
      <c r="U2" t="e">
        <f>AND(Budget!A26,"AAAAACX6exQ=")</f>
        <v>#VALUE!</v>
      </c>
      <c r="V2" t="e">
        <f>AND(Budget!B26,"AAAAACX6exU=")</f>
        <v>#VALUE!</v>
      </c>
      <c r="W2" t="b">
        <f>AND(Budget!C26,"AAAAACX6exY=")</f>
        <v>1</v>
      </c>
      <c r="X2" t="b">
        <f>AND(Budget!D26,"AAAAACX6exc=")</f>
        <v>1</v>
      </c>
      <c r="Y2" t="b">
        <f>AND(Budget!E26,"AAAAACX6exg=")</f>
        <v>1</v>
      </c>
      <c r="Z2" t="b">
        <f>AND(Budget!F26,"AAAAACX6exk=")</f>
        <v>0</v>
      </c>
      <c r="AA2" t="b">
        <f>AND(Budget!G26,"AAAAACX6exo=")</f>
        <v>0</v>
      </c>
      <c r="AB2" t="e">
        <f>AND(Budget!H26,"AAAAACX6exs=")</f>
        <v>#VALUE!</v>
      </c>
      <c r="AC2" t="e">
        <f>AND(Budget!I26,"AAAAACX6exw=")</f>
        <v>#VALUE!</v>
      </c>
      <c r="AD2" t="e">
        <f>AND(Budget!J26,"AAAAACX6ex0=")</f>
        <v>#VALUE!</v>
      </c>
      <c r="AE2">
        <f>IF(Budget!27:27,"AAAAACX6ex4=",0)</f>
        <v>0</v>
      </c>
      <c r="AF2" t="e">
        <f>AND(Budget!A27,"AAAAACX6ex8=")</f>
        <v>#VALUE!</v>
      </c>
      <c r="AG2" t="e">
        <f>AND(Budget!B27,"AAAAACX6eyA=")</f>
        <v>#VALUE!</v>
      </c>
      <c r="AH2" t="b">
        <f>AND(Budget!C27,"AAAAACX6eyE=")</f>
        <v>1</v>
      </c>
      <c r="AI2" t="e">
        <f>AND(Budget!D27,"AAAAACX6eyI=")</f>
        <v>#VALUE!</v>
      </c>
      <c r="AJ2" t="e">
        <f>AND(Budget!E27,"AAAAACX6eyM=")</f>
        <v>#VALUE!</v>
      </c>
      <c r="AK2" t="b">
        <f>AND(Budget!F27,"AAAAACX6eyQ=")</f>
        <v>0</v>
      </c>
      <c r="AL2" t="e">
        <f>AND(Budget!G27,"AAAAACX6eyU=")</f>
        <v>#VALUE!</v>
      </c>
      <c r="AM2" t="e">
        <f>AND(Budget!H27,"AAAAACX6eyY=")</f>
        <v>#VALUE!</v>
      </c>
      <c r="AN2" t="e">
        <f>AND(Budget!I27,"AAAAACX6eyc=")</f>
        <v>#VALUE!</v>
      </c>
      <c r="AO2" t="e">
        <f>AND(Budget!J27,"AAAAACX6eyg=")</f>
        <v>#VALUE!</v>
      </c>
      <c r="AP2">
        <f>IF(Budget!28:28,"AAAAACX6eyk=",0)</f>
        <v>0</v>
      </c>
      <c r="AQ2" t="e">
        <f>AND(Budget!A28,"AAAAACX6eyo=")</f>
        <v>#VALUE!</v>
      </c>
      <c r="AR2" t="e">
        <f>AND(Budget!B28,"AAAAACX6eys=")</f>
        <v>#VALUE!</v>
      </c>
      <c r="AS2" t="b">
        <f>AND(Budget!C28,"AAAAACX6eyw=")</f>
        <v>1</v>
      </c>
      <c r="AT2" t="e">
        <f>AND(Budget!D28,"AAAAACX6ey0=")</f>
        <v>#VALUE!</v>
      </c>
      <c r="AU2" t="e">
        <f>AND(Budget!E28,"AAAAACX6ey4=")</f>
        <v>#VALUE!</v>
      </c>
      <c r="AV2" t="b">
        <f>AND(Budget!F28,"AAAAACX6ey8=")</f>
        <v>0</v>
      </c>
      <c r="AW2" t="e">
        <f>AND(Budget!G28,"AAAAACX6ezA=")</f>
        <v>#VALUE!</v>
      </c>
      <c r="AX2" t="e">
        <f>AND(Budget!H28,"AAAAACX6ezE=")</f>
        <v>#VALUE!</v>
      </c>
      <c r="AY2" t="e">
        <f>AND(Budget!I28,"AAAAACX6ezI=")</f>
        <v>#VALUE!</v>
      </c>
      <c r="AZ2" t="e">
        <f>AND(Budget!J28,"AAAAACX6ezM=")</f>
        <v>#VALUE!</v>
      </c>
      <c r="BA2">
        <f>IF(Budget!29:29,"AAAAACX6ezQ=",0)</f>
        <v>0</v>
      </c>
      <c r="BB2" t="e">
        <f>AND(Budget!A29,"AAAAACX6ezU=")</f>
        <v>#VALUE!</v>
      </c>
      <c r="BC2" t="e">
        <f>AND(Budget!B29,"AAAAACX6ezY=")</f>
        <v>#VALUE!</v>
      </c>
      <c r="BD2" t="e">
        <f>AND(Budget!C29,"AAAAACX6ezc=")</f>
        <v>#VALUE!</v>
      </c>
      <c r="BE2" t="b">
        <f>AND(Budget!D29,"AAAAACX6ezg=")</f>
        <v>1</v>
      </c>
      <c r="BF2" t="b">
        <f>AND(Budget!E29,"AAAAACX6ezk=")</f>
        <v>1</v>
      </c>
      <c r="BG2" t="b">
        <f>AND(Budget!F29,"AAAAACX6ezo=")</f>
        <v>1</v>
      </c>
      <c r="BH2" t="b">
        <f>AND(Budget!G29,"AAAAACX6ezs=")</f>
        <v>1</v>
      </c>
      <c r="BI2" t="e">
        <f>AND(Budget!H29,"AAAAACX6ezw=")</f>
        <v>#VALUE!</v>
      </c>
      <c r="BJ2" t="e">
        <f>AND(Budget!I29,"AAAAACX6ez0=")</f>
        <v>#VALUE!</v>
      </c>
      <c r="BK2" t="e">
        <f>AND(Budget!J29,"AAAAACX6ez4=")</f>
        <v>#VALUE!</v>
      </c>
      <c r="BL2">
        <f>IF(Budget!30:30,"AAAAACX6ez8=",0)</f>
        <v>0</v>
      </c>
      <c r="BM2" t="e">
        <f>AND(Budget!A30,"AAAAACX6e0A=")</f>
        <v>#VALUE!</v>
      </c>
      <c r="BN2" t="e">
        <f>AND(Budget!B30,"AAAAACX6e0E=")</f>
        <v>#VALUE!</v>
      </c>
      <c r="BO2" t="e">
        <f>AND(Budget!C30,"AAAAACX6e0I=")</f>
        <v>#VALUE!</v>
      </c>
      <c r="BP2" t="e">
        <f>AND(Budget!D30,"AAAAACX6e0M=")</f>
        <v>#VALUE!</v>
      </c>
      <c r="BQ2" t="e">
        <f>AND(Budget!E30,"AAAAACX6e0Q=")</f>
        <v>#VALUE!</v>
      </c>
      <c r="BR2" t="e">
        <f>AND(Budget!F30,"AAAAACX6e0U=")</f>
        <v>#VALUE!</v>
      </c>
      <c r="BS2" t="e">
        <f>AND(Budget!G30,"AAAAACX6e0Y=")</f>
        <v>#VALUE!</v>
      </c>
      <c r="BT2" t="e">
        <f>AND(Budget!H30,"AAAAACX6e0c=")</f>
        <v>#VALUE!</v>
      </c>
      <c r="BU2" t="e">
        <f>AND(Budget!I30,"AAAAACX6e0g=")</f>
        <v>#VALUE!</v>
      </c>
      <c r="BV2" t="e">
        <f>AND(Budget!J30,"AAAAACX6e0k=")</f>
        <v>#VALUE!</v>
      </c>
      <c r="BW2">
        <f>IF(Budget!31:31,"AAAAACX6e0o=",0)</f>
        <v>0</v>
      </c>
      <c r="BX2" t="e">
        <f>AND(Budget!A31,"AAAAACX6e0s=")</f>
        <v>#VALUE!</v>
      </c>
      <c r="BY2" t="e">
        <f>AND(Budget!B31,"AAAAACX6e0w=")</f>
        <v>#VALUE!</v>
      </c>
      <c r="BZ2" t="b">
        <f>AND(Budget!C31,"AAAAACX6e00=")</f>
        <v>1</v>
      </c>
      <c r="CA2" t="b">
        <f>AND(Budget!D31,"AAAAACX6e04=")</f>
        <v>1</v>
      </c>
      <c r="CB2" t="b">
        <f>AND(Budget!E31,"AAAAACX6e08=")</f>
        <v>1</v>
      </c>
      <c r="CC2" t="b">
        <f>AND(Budget!F31,"AAAAACX6e1A=")</f>
        <v>1</v>
      </c>
      <c r="CD2" t="b">
        <f>AND(Budget!G31,"AAAAACX6e1E=")</f>
        <v>1</v>
      </c>
      <c r="CE2" t="e">
        <f>AND(Budget!H31,"AAAAACX6e1I=")</f>
        <v>#VALUE!</v>
      </c>
      <c r="CF2" t="e">
        <f>AND(Budget!I31,"AAAAACX6e1M=")</f>
        <v>#VALUE!</v>
      </c>
      <c r="CG2" t="e">
        <f>AND(Budget!J31,"AAAAACX6e1Q=")</f>
        <v>#VALUE!</v>
      </c>
      <c r="CH2">
        <f>IF(Budget!32:32,"AAAAACX6e1U=",0)</f>
        <v>0</v>
      </c>
      <c r="CI2" t="e">
        <f>AND(Budget!A32,"AAAAACX6e1Y=")</f>
        <v>#VALUE!</v>
      </c>
      <c r="CJ2" t="e">
        <f>AND(Budget!B32,"AAAAACX6e1c=")</f>
        <v>#VALUE!</v>
      </c>
      <c r="CK2" t="b">
        <f>AND(Budget!C32,"AAAAACX6e1g=")</f>
        <v>1</v>
      </c>
      <c r="CL2" t="b">
        <f>AND(Budget!D32,"AAAAACX6e1k=")</f>
        <v>1</v>
      </c>
      <c r="CM2" t="b">
        <f>AND(Budget!E32,"AAAAACX6e1o=")</f>
        <v>1</v>
      </c>
      <c r="CN2" t="b">
        <f>AND(Budget!F32,"AAAAACX6e1s=")</f>
        <v>1</v>
      </c>
      <c r="CO2" t="b">
        <f>AND(Budget!G32,"AAAAACX6e1w=")</f>
        <v>1</v>
      </c>
      <c r="CP2" t="e">
        <f>AND(Budget!H32,"AAAAACX6e10=")</f>
        <v>#VALUE!</v>
      </c>
      <c r="CQ2" t="e">
        <f>AND(Budget!I32,"AAAAACX6e14=")</f>
        <v>#VALUE!</v>
      </c>
      <c r="CR2" t="e">
        <f>AND(Budget!J32,"AAAAACX6e18=")</f>
        <v>#VALUE!</v>
      </c>
      <c r="CS2">
        <f>IF(Budget!33:33,"AAAAACX6e2A=",0)</f>
        <v>0</v>
      </c>
      <c r="CT2" t="e">
        <f>AND(Budget!A33,"AAAAACX6e2E=")</f>
        <v>#VALUE!</v>
      </c>
      <c r="CU2" t="e">
        <f>AND(Budget!B33,"AAAAACX6e2I=")</f>
        <v>#VALUE!</v>
      </c>
      <c r="CV2" t="b">
        <f>AND(Budget!C33,"AAAAACX6e2M=")</f>
        <v>1</v>
      </c>
      <c r="CW2" t="b">
        <f>AND(Budget!D33,"AAAAACX6e2Q=")</f>
        <v>1</v>
      </c>
      <c r="CX2" t="b">
        <f>AND(Budget!E33,"AAAAACX6e2U=")</f>
        <v>1</v>
      </c>
      <c r="CY2" t="b">
        <f>AND(Budget!F33,"AAAAACX6e2Y=")</f>
        <v>1</v>
      </c>
      <c r="CZ2" t="b">
        <f>AND(Budget!G33,"AAAAACX6e2c=")</f>
        <v>1</v>
      </c>
      <c r="DA2" t="e">
        <f>AND(Budget!H33,"AAAAACX6e2g=")</f>
        <v>#VALUE!</v>
      </c>
      <c r="DB2" t="e">
        <f>AND(Budget!I33,"AAAAACX6e2k=")</f>
        <v>#VALUE!</v>
      </c>
      <c r="DC2" t="e">
        <f>AND(Budget!J33,"AAAAACX6e2o=")</f>
        <v>#VALUE!</v>
      </c>
      <c r="DD2">
        <f>IF(Budget!34:34,"AAAAACX6e2s=",0)</f>
        <v>0</v>
      </c>
      <c r="DE2" t="e">
        <f>AND(Budget!A34,"AAAAACX6e2w=")</f>
        <v>#VALUE!</v>
      </c>
      <c r="DF2" t="e">
        <f>AND(Budget!B34,"AAAAACX6e20=")</f>
        <v>#VALUE!</v>
      </c>
      <c r="DG2" t="b">
        <f>AND(Budget!C34,"AAAAACX6e24=")</f>
        <v>1</v>
      </c>
      <c r="DH2" t="e">
        <f>AND(Budget!D34,"AAAAACX6e28=")</f>
        <v>#VALUE!</v>
      </c>
      <c r="DI2" t="e">
        <f>AND(Budget!E34,"AAAAACX6e3A=")</f>
        <v>#VALUE!</v>
      </c>
      <c r="DJ2" t="e">
        <f>AND(Budget!F34,"AAAAACX6e3E=")</f>
        <v>#VALUE!</v>
      </c>
      <c r="DK2" t="e">
        <f>AND(Budget!G34,"AAAAACX6e3I=")</f>
        <v>#VALUE!</v>
      </c>
      <c r="DL2" t="e">
        <f>AND(Budget!H34,"AAAAACX6e3M=")</f>
        <v>#VALUE!</v>
      </c>
      <c r="DM2" t="e">
        <f>AND(Budget!I34,"AAAAACX6e3Q=")</f>
        <v>#VALUE!</v>
      </c>
      <c r="DN2" t="e">
        <f>AND(Budget!J34,"AAAAACX6e3U=")</f>
        <v>#VALUE!</v>
      </c>
      <c r="DO2">
        <f>IF(Budget!35:35,"AAAAACX6e3Y=",0)</f>
        <v>0</v>
      </c>
      <c r="DP2" t="e">
        <f>AND(Budget!A35,"AAAAACX6e3c=")</f>
        <v>#VALUE!</v>
      </c>
      <c r="DQ2" t="e">
        <f>AND(Budget!B35,"AAAAACX6e3g=")</f>
        <v>#VALUE!</v>
      </c>
      <c r="DR2" t="b">
        <f>AND(Budget!C35,"AAAAACX6e3k=")</f>
        <v>1</v>
      </c>
      <c r="DS2" t="b">
        <f>AND(Budget!D35,"AAAAACX6e3o=")</f>
        <v>1</v>
      </c>
      <c r="DT2" t="b">
        <f>AND(Budget!E35,"AAAAACX6e3s=")</f>
        <v>1</v>
      </c>
      <c r="DU2" t="b">
        <f>AND(Budget!F35,"AAAAACX6e3w=")</f>
        <v>1</v>
      </c>
      <c r="DV2" t="b">
        <f>AND(Budget!G35,"AAAAACX6e30=")</f>
        <v>1</v>
      </c>
      <c r="DW2" t="e">
        <f>AND(Budget!H35,"AAAAACX6e34=")</f>
        <v>#VALUE!</v>
      </c>
      <c r="DX2" t="e">
        <f>AND(Budget!I35,"AAAAACX6e38=")</f>
        <v>#VALUE!</v>
      </c>
      <c r="DY2" t="e">
        <f>AND(Budget!J35,"AAAAACX6e4A=")</f>
        <v>#VALUE!</v>
      </c>
      <c r="DZ2">
        <f>IF(Budget!36:36,"AAAAACX6e4E=",0)</f>
        <v>0</v>
      </c>
      <c r="EA2" t="e">
        <f>AND(Budget!A36,"AAAAACX6e4I=")</f>
        <v>#VALUE!</v>
      </c>
      <c r="EB2" t="e">
        <f>AND(Budget!B36,"AAAAACX6e4M=")</f>
        <v>#VALUE!</v>
      </c>
      <c r="EC2" t="b">
        <f>AND(Budget!C36,"AAAAACX6e4Q=")</f>
        <v>1</v>
      </c>
      <c r="ED2" t="b">
        <f>AND(Budget!D36,"AAAAACX6e4U=")</f>
        <v>1</v>
      </c>
      <c r="EE2" t="e">
        <f>AND(Budget!E36,"AAAAACX6e4Y=")</f>
        <v>#VALUE!</v>
      </c>
      <c r="EF2" t="b">
        <f>AND(Budget!F36,"AAAAACX6e4c=")</f>
        <v>1</v>
      </c>
      <c r="EG2" t="e">
        <f>AND(Budget!G36,"AAAAACX6e4g=")</f>
        <v>#VALUE!</v>
      </c>
      <c r="EH2" t="e">
        <f>AND(Budget!H36,"AAAAACX6e4k=")</f>
        <v>#VALUE!</v>
      </c>
      <c r="EI2" t="e">
        <f>AND(Budget!I36,"AAAAACX6e4o=")</f>
        <v>#VALUE!</v>
      </c>
      <c r="EJ2" t="e">
        <f>AND(Budget!J36,"AAAAACX6e4s=")</f>
        <v>#VALUE!</v>
      </c>
      <c r="EK2">
        <f>IF(Budget!37:37,"AAAAACX6e4w=",0)</f>
        <v>0</v>
      </c>
      <c r="EL2" t="e">
        <f>AND(Budget!A37,"AAAAACX6e40=")</f>
        <v>#VALUE!</v>
      </c>
      <c r="EM2" t="e">
        <f>AND(Budget!B37,"AAAAACX6e44=")</f>
        <v>#VALUE!</v>
      </c>
      <c r="EN2" t="e">
        <f>AND(Budget!C37,"AAAAACX6e48=")</f>
        <v>#VALUE!</v>
      </c>
      <c r="EO2" t="b">
        <f>AND(Budget!D37,"AAAAACX6e5A=")</f>
        <v>1</v>
      </c>
      <c r="EP2" t="b">
        <f>AND(Budget!E37,"AAAAACX6e5E=")</f>
        <v>1</v>
      </c>
      <c r="EQ2" t="b">
        <f>AND(Budget!F37,"AAAAACX6e5I=")</f>
        <v>1</v>
      </c>
      <c r="ER2" t="b">
        <f>AND(Budget!G37,"AAAAACX6e5M=")</f>
        <v>1</v>
      </c>
      <c r="ES2" t="e">
        <f>AND(Budget!H37,"AAAAACX6e5Q=")</f>
        <v>#VALUE!</v>
      </c>
      <c r="ET2" t="e">
        <f>AND(Budget!I37,"AAAAACX6e5U=")</f>
        <v>#VALUE!</v>
      </c>
      <c r="EU2" t="e">
        <f>AND(Budget!J37,"AAAAACX6e5Y=")</f>
        <v>#VALUE!</v>
      </c>
      <c r="EV2">
        <f>IF(Budget!38:38,"AAAAACX6e5c=",0)</f>
        <v>0</v>
      </c>
      <c r="EW2" t="e">
        <f>AND(Budget!A38,"AAAAACX6e5g=")</f>
        <v>#VALUE!</v>
      </c>
      <c r="EX2" t="e">
        <f>AND(Budget!B38,"AAAAACX6e5k=")</f>
        <v>#VALUE!</v>
      </c>
      <c r="EY2" t="e">
        <f>AND(Budget!C38,"AAAAACX6e5o=")</f>
        <v>#VALUE!</v>
      </c>
      <c r="EZ2" t="e">
        <f>AND(Budget!D38,"AAAAACX6e5s=")</f>
        <v>#VALUE!</v>
      </c>
      <c r="FA2" t="e">
        <f>AND(Budget!E38,"AAAAACX6e5w=")</f>
        <v>#VALUE!</v>
      </c>
      <c r="FB2" t="e">
        <f>AND(Budget!F38,"AAAAACX6e50=")</f>
        <v>#VALUE!</v>
      </c>
      <c r="FC2" t="e">
        <f>AND(Budget!G38,"AAAAACX6e54=")</f>
        <v>#VALUE!</v>
      </c>
      <c r="FD2" t="e">
        <f>AND(Budget!H38,"AAAAACX6e58=")</f>
        <v>#VALUE!</v>
      </c>
      <c r="FE2" t="e">
        <f>AND(Budget!I38,"AAAAACX6e6A=")</f>
        <v>#VALUE!</v>
      </c>
      <c r="FF2" t="e">
        <f>AND(Budget!J38,"AAAAACX6e6E=")</f>
        <v>#VALUE!</v>
      </c>
      <c r="FG2">
        <f>IF(Budget!39:39,"AAAAACX6e6I=",0)</f>
        <v>0</v>
      </c>
      <c r="FH2" t="e">
        <f>AND(Budget!A39,"AAAAACX6e6M=")</f>
        <v>#VALUE!</v>
      </c>
      <c r="FI2" t="e">
        <f>AND(Budget!B39,"AAAAACX6e6Q=")</f>
        <v>#VALUE!</v>
      </c>
      <c r="FJ2" t="e">
        <f>AND(Budget!C39,"AAAAACX6e6U=")</f>
        <v>#VALUE!</v>
      </c>
      <c r="FK2" t="b">
        <f>AND(Budget!D39,"AAAAACX6e6Y=")</f>
        <v>1</v>
      </c>
      <c r="FL2" t="b">
        <f>AND(Budget!E39,"AAAAACX6e6c=")</f>
        <v>1</v>
      </c>
      <c r="FM2" t="b">
        <f>AND(Budget!F39,"AAAAACX6e6g=")</f>
        <v>1</v>
      </c>
      <c r="FN2" t="b">
        <f>AND(Budget!G39,"AAAAACX6e6k=")</f>
        <v>1</v>
      </c>
      <c r="FO2" t="e">
        <f>AND(Budget!H39,"AAAAACX6e6o=")</f>
        <v>#VALUE!</v>
      </c>
      <c r="FP2" t="e">
        <f>AND(Budget!I39,"AAAAACX6e6s=")</f>
        <v>#VALUE!</v>
      </c>
      <c r="FQ2" t="e">
        <f>AND(Budget!J39,"AAAAACX6e6w=")</f>
        <v>#VALUE!</v>
      </c>
      <c r="FR2">
        <f>IF(Budget!40:40,"AAAAACX6e60=",0)</f>
        <v>0</v>
      </c>
      <c r="FS2" t="e">
        <f>AND(Budget!A40,"AAAAACX6e64=")</f>
        <v>#VALUE!</v>
      </c>
      <c r="FT2" t="e">
        <f>AND(Budget!B40,"AAAAACX6e68=")</f>
        <v>#VALUE!</v>
      </c>
      <c r="FU2" t="e">
        <f>AND(Budget!C40,"AAAAACX6e7A=")</f>
        <v>#VALUE!</v>
      </c>
      <c r="FV2" t="e">
        <f>AND(Budget!D40,"AAAAACX6e7E=")</f>
        <v>#VALUE!</v>
      </c>
      <c r="FW2" t="e">
        <f>AND(Budget!E40,"AAAAACX6e7I=")</f>
        <v>#VALUE!</v>
      </c>
      <c r="FX2" t="e">
        <f>AND(Budget!F40,"AAAAACX6e7M=")</f>
        <v>#VALUE!</v>
      </c>
      <c r="FY2" t="e">
        <f>AND(Budget!G40,"AAAAACX6e7Q=")</f>
        <v>#VALUE!</v>
      </c>
      <c r="FZ2" t="e">
        <f>AND(Budget!H40,"AAAAACX6e7U=")</f>
        <v>#VALUE!</v>
      </c>
      <c r="GA2" t="e">
        <f>AND(Budget!I40,"AAAAACX6e7Y=")</f>
        <v>#VALUE!</v>
      </c>
      <c r="GB2" t="e">
        <f>AND(Budget!J40,"AAAAACX6e7c=")</f>
        <v>#VALUE!</v>
      </c>
      <c r="GC2">
        <f>IF(Budget!41:41,"AAAAACX6e7g=",0)</f>
        <v>0</v>
      </c>
      <c r="GD2" t="e">
        <f>AND(Budget!A41,"AAAAACX6e7k=")</f>
        <v>#VALUE!</v>
      </c>
      <c r="GE2" t="e">
        <f>AND(Budget!B41,"AAAAACX6e7o=")</f>
        <v>#VALUE!</v>
      </c>
      <c r="GF2" t="b">
        <f>AND(Budget!C41,"AAAAACX6e7s=")</f>
        <v>1</v>
      </c>
      <c r="GG2" t="b">
        <f>AND(Budget!D41,"AAAAACX6e7w=")</f>
        <v>1</v>
      </c>
      <c r="GH2" t="b">
        <f>AND(Budget!E41,"AAAAACX6e70=")</f>
        <v>1</v>
      </c>
      <c r="GI2" t="b">
        <f>AND(Budget!F41,"AAAAACX6e74=")</f>
        <v>0</v>
      </c>
      <c r="GJ2" t="b">
        <f>AND(Budget!G41,"AAAAACX6e78=")</f>
        <v>0</v>
      </c>
      <c r="GK2" t="e">
        <f>AND(Budget!H41,"AAAAACX6e8A=")</f>
        <v>#VALUE!</v>
      </c>
      <c r="GL2" t="e">
        <f>AND(Budget!I41,"AAAAACX6e8E=")</f>
        <v>#VALUE!</v>
      </c>
      <c r="GM2" t="e">
        <f>AND(Budget!J41,"AAAAACX6e8I=")</f>
        <v>#VALUE!</v>
      </c>
      <c r="GN2">
        <f>IF(Budget!42:42,"AAAAACX6e8M=",0)</f>
        <v>0</v>
      </c>
      <c r="GO2" t="e">
        <f>AND(Budget!A42,"AAAAACX6e8Q=")</f>
        <v>#VALUE!</v>
      </c>
      <c r="GP2" t="e">
        <f>AND(Budget!B42,"AAAAACX6e8U=")</f>
        <v>#VALUE!</v>
      </c>
      <c r="GQ2" t="b">
        <f>AND(Budget!C42,"AAAAACX6e8Y=")</f>
        <v>1</v>
      </c>
      <c r="GR2" t="b">
        <f>AND(Budget!D42,"AAAAACX6e8c=")</f>
        <v>0</v>
      </c>
      <c r="GS2" t="b">
        <f>AND(Budget!E42,"AAAAACX6e8g=")</f>
        <v>0</v>
      </c>
      <c r="GT2" t="b">
        <f>AND(Budget!F42,"AAAAACX6e8k=")</f>
        <v>0</v>
      </c>
      <c r="GU2" t="e">
        <f>AND(Budget!G42,"AAAAACX6e8o=")</f>
        <v>#VALUE!</v>
      </c>
      <c r="GV2" t="e">
        <f>AND(Budget!H42,"AAAAACX6e8s=")</f>
        <v>#VALUE!</v>
      </c>
      <c r="GW2" t="e">
        <f>AND(Budget!I42,"AAAAACX6e8w=")</f>
        <v>#VALUE!</v>
      </c>
      <c r="GX2" t="e">
        <f>AND(Budget!J42,"AAAAACX6e80=")</f>
        <v>#VALUE!</v>
      </c>
      <c r="GY2">
        <f>IF(Budget!43:43,"AAAAACX6e84=",0)</f>
        <v>0</v>
      </c>
      <c r="GZ2" t="e">
        <f>AND(Budget!A43,"AAAAACX6e88=")</f>
        <v>#VALUE!</v>
      </c>
      <c r="HA2" t="e">
        <f>AND(Budget!B43,"AAAAACX6e9A=")</f>
        <v>#VALUE!</v>
      </c>
      <c r="HB2" t="b">
        <f>AND(Budget!C43,"AAAAACX6e9E=")</f>
        <v>1</v>
      </c>
      <c r="HC2" t="b">
        <f>AND(Budget!D43,"AAAAACX6e9I=")</f>
        <v>1</v>
      </c>
      <c r="HD2" t="b">
        <f>AND(Budget!E43,"AAAAACX6e9M=")</f>
        <v>1</v>
      </c>
      <c r="HE2" t="b">
        <f>AND(Budget!F43,"AAAAACX6e9Q=")</f>
        <v>1</v>
      </c>
      <c r="HF2" t="b">
        <f>AND(Budget!G43,"AAAAACX6e9U=")</f>
        <v>1</v>
      </c>
      <c r="HG2" t="e">
        <f>AND(Budget!H43,"AAAAACX6e9Y=")</f>
        <v>#VALUE!</v>
      </c>
      <c r="HH2" t="e">
        <f>AND(Budget!I43,"AAAAACX6e9c=")</f>
        <v>#VALUE!</v>
      </c>
      <c r="HI2" t="e">
        <f>AND(Budget!J43,"AAAAACX6e9g=")</f>
        <v>#VALUE!</v>
      </c>
      <c r="HJ2">
        <f>IF(Budget!44:44,"AAAAACX6e9k=",0)</f>
        <v>0</v>
      </c>
      <c r="HK2" t="e">
        <f>AND(Budget!A44,"AAAAACX6e9o=")</f>
        <v>#VALUE!</v>
      </c>
      <c r="HL2" t="e">
        <f>AND(Budget!B44,"AAAAACX6e9s=")</f>
        <v>#VALUE!</v>
      </c>
      <c r="HM2" t="b">
        <f>AND(Budget!C44,"AAAAACX6e9w=")</f>
        <v>1</v>
      </c>
      <c r="HN2" t="b">
        <f>AND(Budget!D44,"AAAAACX6e90=")</f>
        <v>1</v>
      </c>
      <c r="HO2" t="b">
        <f>AND(Budget!E44,"AAAAACX6e94=")</f>
        <v>1</v>
      </c>
      <c r="HP2" t="e">
        <f>AND(Budget!F44,"AAAAACX6e98=")</f>
        <v>#VALUE!</v>
      </c>
      <c r="HQ2" t="b">
        <f>AND(Budget!G44,"AAAAACX6e+A=")</f>
        <v>0</v>
      </c>
      <c r="HR2" t="e">
        <f>AND(Budget!H44,"AAAAACX6e+E=")</f>
        <v>#VALUE!</v>
      </c>
      <c r="HS2" t="e">
        <f>AND(Budget!I44,"AAAAACX6e+I=")</f>
        <v>#VALUE!</v>
      </c>
      <c r="HT2" t="e">
        <f>AND(Budget!J44,"AAAAACX6e+M=")</f>
        <v>#VALUE!</v>
      </c>
      <c r="HU2">
        <f>IF(Budget!45:45,"AAAAACX6e+Q=",0)</f>
        <v>0</v>
      </c>
      <c r="HV2" t="e">
        <f>AND(Budget!A45,"AAAAACX6e+U=")</f>
        <v>#VALUE!</v>
      </c>
      <c r="HW2" t="e">
        <f>AND(Budget!B45,"AAAAACX6e+Y=")</f>
        <v>#VALUE!</v>
      </c>
      <c r="HX2" t="b">
        <f>AND(Budget!C45,"AAAAACX6e+c=")</f>
        <v>1</v>
      </c>
      <c r="HY2" t="b">
        <f>AND(Budget!D45,"AAAAACX6e+g=")</f>
        <v>0</v>
      </c>
      <c r="HZ2" t="b">
        <f>AND(Budget!E45,"AAAAACX6e+k=")</f>
        <v>0</v>
      </c>
      <c r="IA2" t="b">
        <f>AND(Budget!F45,"AAAAACX6e+o=")</f>
        <v>0</v>
      </c>
      <c r="IB2" t="e">
        <f>AND(Budget!G45,"AAAAACX6e+s=")</f>
        <v>#VALUE!</v>
      </c>
      <c r="IC2" t="e">
        <f>AND(Budget!H45,"AAAAACX6e+w=")</f>
        <v>#VALUE!</v>
      </c>
      <c r="ID2" t="e">
        <f>AND(Budget!I45,"AAAAACX6e+0=")</f>
        <v>#VALUE!</v>
      </c>
      <c r="IE2" t="e">
        <f>AND(Budget!J45,"AAAAACX6e+4=")</f>
        <v>#VALUE!</v>
      </c>
      <c r="IF2">
        <f>IF(Budget!46:46,"AAAAACX6e+8=",0)</f>
        <v>0</v>
      </c>
      <c r="IG2" t="e">
        <f>AND(Budget!A46,"AAAAACX6e/A=")</f>
        <v>#VALUE!</v>
      </c>
      <c r="IH2" t="e">
        <f>AND(Budget!B46,"AAAAACX6e/E=")</f>
        <v>#VALUE!</v>
      </c>
      <c r="II2" t="e">
        <f>AND(Budget!C46,"AAAAACX6e/I=")</f>
        <v>#VALUE!</v>
      </c>
      <c r="IJ2" t="e">
        <f>AND(Budget!D46,"AAAAACX6e/M=")</f>
        <v>#VALUE!</v>
      </c>
      <c r="IK2" t="e">
        <f>AND(Budget!E46,"AAAAACX6e/Q=")</f>
        <v>#VALUE!</v>
      </c>
      <c r="IL2" t="b">
        <f>AND(Budget!F46,"AAAAACX6e/U=")</f>
        <v>0</v>
      </c>
      <c r="IM2" t="e">
        <f>AND(Budget!G46,"AAAAACX6e/Y=")</f>
        <v>#VALUE!</v>
      </c>
      <c r="IN2" t="e">
        <f>AND(Budget!H46,"AAAAACX6e/c=")</f>
        <v>#VALUE!</v>
      </c>
      <c r="IO2" t="e">
        <f>AND(Budget!I46,"AAAAACX6e/g=")</f>
        <v>#VALUE!</v>
      </c>
      <c r="IP2" t="e">
        <f>AND(Budget!J46,"AAAAACX6e/k=")</f>
        <v>#VALUE!</v>
      </c>
      <c r="IQ2">
        <f>IF(Budget!47:47,"AAAAACX6e/o=",0)</f>
        <v>0</v>
      </c>
      <c r="IR2" t="e">
        <f>AND(Budget!A47,"AAAAACX6e/s=")</f>
        <v>#VALUE!</v>
      </c>
      <c r="IS2" t="e">
        <f>AND(Budget!B47,"AAAAACX6e/w=")</f>
        <v>#VALUE!</v>
      </c>
      <c r="IT2" t="e">
        <f>AND(Budget!C47,"AAAAACX6e/0=")</f>
        <v>#VALUE!</v>
      </c>
      <c r="IU2" t="b">
        <f>AND(Budget!D47,"AAAAACX6e/4=")</f>
        <v>1</v>
      </c>
      <c r="IV2" t="b">
        <f>AND(Budget!E47,"AAAAACX6e/8=")</f>
        <v>1</v>
      </c>
    </row>
    <row r="3" spans="1:256" x14ac:dyDescent="0.25">
      <c r="A3" t="b">
        <f>AND(Budget!F47,"AAAAAH1e/QA=")</f>
        <v>1</v>
      </c>
      <c r="B3" t="b">
        <f>AND(Budget!G47,"AAAAAH1e/QE=")</f>
        <v>1</v>
      </c>
      <c r="C3" t="e">
        <f>AND(Budget!H47,"AAAAAH1e/QI=")</f>
        <v>#VALUE!</v>
      </c>
      <c r="D3" t="e">
        <f>AND(Budget!I47,"AAAAAH1e/QM=")</f>
        <v>#VALUE!</v>
      </c>
      <c r="E3" t="e">
        <f>AND(Budget!J47,"AAAAAH1e/QQ=")</f>
        <v>#VALUE!</v>
      </c>
      <c r="F3">
        <f>IF(Budget!48:48,"AAAAAH1e/QU=",0)</f>
        <v>0</v>
      </c>
      <c r="G3" t="e">
        <f>AND(Budget!A48,"AAAAAH1e/QY=")</f>
        <v>#VALUE!</v>
      </c>
      <c r="H3" t="e">
        <f>AND(Budget!B48,"AAAAAH1e/Qc=")</f>
        <v>#VALUE!</v>
      </c>
      <c r="I3" t="e">
        <f>AND(Budget!C48,"AAAAAH1e/Qg=")</f>
        <v>#VALUE!</v>
      </c>
      <c r="J3" t="e">
        <f>AND(Budget!D48,"AAAAAH1e/Qk=")</f>
        <v>#VALUE!</v>
      </c>
      <c r="K3" t="e">
        <f>AND(Budget!E48,"AAAAAH1e/Qo=")</f>
        <v>#VALUE!</v>
      </c>
      <c r="L3" t="e">
        <f>AND(Budget!F48,"AAAAAH1e/Qs=")</f>
        <v>#VALUE!</v>
      </c>
      <c r="M3" t="e">
        <f>AND(Budget!G48,"AAAAAH1e/Qw=")</f>
        <v>#VALUE!</v>
      </c>
      <c r="N3" t="e">
        <f>AND(Budget!H48,"AAAAAH1e/Q0=")</f>
        <v>#VALUE!</v>
      </c>
      <c r="O3" t="e">
        <f>AND(Budget!I48,"AAAAAH1e/Q4=")</f>
        <v>#VALUE!</v>
      </c>
      <c r="P3" t="e">
        <f>AND(Budget!J48,"AAAAAH1e/Q8=")</f>
        <v>#VALUE!</v>
      </c>
      <c r="Q3">
        <f>IF(Budget!49:49,"AAAAAH1e/RA=",0)</f>
        <v>0</v>
      </c>
      <c r="R3" t="e">
        <f>AND(Budget!A49,"AAAAAH1e/RE=")</f>
        <v>#VALUE!</v>
      </c>
      <c r="S3" t="e">
        <f>AND(Budget!B49,"AAAAAH1e/RI=")</f>
        <v>#VALUE!</v>
      </c>
      <c r="T3" t="e">
        <f>AND(Budget!C49,"AAAAAH1e/RM=")</f>
        <v>#VALUE!</v>
      </c>
      <c r="U3" t="b">
        <f>AND(Budget!D49,"AAAAAH1e/RQ=")</f>
        <v>1</v>
      </c>
      <c r="V3" t="e">
        <f>AND(Budget!E49,"AAAAAH1e/RU=")</f>
        <v>#VALUE!</v>
      </c>
      <c r="W3" t="e">
        <f>AND(Budget!F49,"AAAAAH1e/RY=")</f>
        <v>#VALUE!</v>
      </c>
      <c r="X3" t="e">
        <f>AND(Budget!G49,"AAAAAH1e/Rc=")</f>
        <v>#VALUE!</v>
      </c>
      <c r="Y3" t="e">
        <f>AND(Budget!H49,"AAAAAH1e/Rg=")</f>
        <v>#VALUE!</v>
      </c>
      <c r="Z3" t="e">
        <f>AND(Budget!I49,"AAAAAH1e/Rk=")</f>
        <v>#VALUE!</v>
      </c>
      <c r="AA3" t="e">
        <f>AND(Budget!J49,"AAAAAH1e/Ro=")</f>
        <v>#VALUE!</v>
      </c>
      <c r="AB3">
        <f>IF(Budget!50:50,"AAAAAH1e/Rs=",0)</f>
        <v>0</v>
      </c>
      <c r="AC3" t="e">
        <f>AND(Budget!A50,"AAAAAH1e/Rw=")</f>
        <v>#VALUE!</v>
      </c>
      <c r="AD3" t="e">
        <f>AND(Budget!B50,"AAAAAH1e/R0=")</f>
        <v>#VALUE!</v>
      </c>
      <c r="AE3" t="e">
        <f>AND(Budget!C50,"AAAAAH1e/R4=")</f>
        <v>#VALUE!</v>
      </c>
      <c r="AF3" t="e">
        <f>AND(Budget!D50,"AAAAAH1e/R8=")</f>
        <v>#VALUE!</v>
      </c>
      <c r="AG3" t="e">
        <f>AND(Budget!E50,"AAAAAH1e/SA=")</f>
        <v>#VALUE!</v>
      </c>
      <c r="AH3" t="e">
        <f>AND(Budget!F50,"AAAAAH1e/SE=")</f>
        <v>#VALUE!</v>
      </c>
      <c r="AI3" t="e">
        <f>AND(Budget!G50,"AAAAAH1e/SI=")</f>
        <v>#VALUE!</v>
      </c>
      <c r="AJ3" t="e">
        <f>AND(Budget!H50,"AAAAAH1e/SM=")</f>
        <v>#VALUE!</v>
      </c>
      <c r="AK3" t="e">
        <f>AND(Budget!I50,"AAAAAH1e/SQ=")</f>
        <v>#VALUE!</v>
      </c>
      <c r="AL3" t="e">
        <f>AND(Budget!J50,"AAAAAH1e/SU=")</f>
        <v>#VALUE!</v>
      </c>
      <c r="AM3">
        <f>IF(Budget!51:51,"AAAAAH1e/SY=",0)</f>
        <v>0</v>
      </c>
      <c r="AN3" t="e">
        <f>AND(Budget!A51,"AAAAAH1e/Sc=")</f>
        <v>#VALUE!</v>
      </c>
      <c r="AO3" t="e">
        <f>AND(Budget!B51,"AAAAAH1e/Sg=")</f>
        <v>#VALUE!</v>
      </c>
      <c r="AP3" t="e">
        <f>AND(Budget!C51,"AAAAAH1e/Sk=")</f>
        <v>#VALUE!</v>
      </c>
      <c r="AQ3" t="e">
        <f>AND(Budget!D51,"AAAAAH1e/So=")</f>
        <v>#VALUE!</v>
      </c>
      <c r="AR3" t="e">
        <f>AND(Budget!E51,"AAAAAH1e/Ss=")</f>
        <v>#VALUE!</v>
      </c>
      <c r="AS3" t="e">
        <f>AND(Budget!F51,"AAAAAH1e/Sw=")</f>
        <v>#VALUE!</v>
      </c>
      <c r="AT3" t="e">
        <f>AND(Budget!G51,"AAAAAH1e/S0=")</f>
        <v>#VALUE!</v>
      </c>
      <c r="AU3" t="e">
        <f>AND(Budget!H51,"AAAAAH1e/S4=")</f>
        <v>#VALUE!</v>
      </c>
      <c r="AV3" t="e">
        <f>AND(Budget!I51,"AAAAAH1e/S8=")</f>
        <v>#VALUE!</v>
      </c>
      <c r="AW3" t="e">
        <f>AND(Budget!J51,"AAAAAH1e/TA=")</f>
        <v>#VALUE!</v>
      </c>
      <c r="AX3">
        <f>IF(Budget!52:52,"AAAAAH1e/TE=",0)</f>
        <v>0</v>
      </c>
      <c r="AY3" t="e">
        <f>AND(Budget!A52,"AAAAAH1e/TI=")</f>
        <v>#VALUE!</v>
      </c>
      <c r="AZ3" t="e">
        <f>AND(Budget!B52,"AAAAAH1e/TM=")</f>
        <v>#VALUE!</v>
      </c>
      <c r="BA3" t="b">
        <f>AND(Budget!C52,"AAAAAH1e/TQ=")</f>
        <v>1</v>
      </c>
      <c r="BB3" t="b">
        <f>AND(Budget!D52,"AAAAAH1e/TU=")</f>
        <v>1</v>
      </c>
      <c r="BC3" t="e">
        <f>AND(Budget!E52,"AAAAAH1e/TY=")</f>
        <v>#VALUE!</v>
      </c>
      <c r="BD3" t="e">
        <f>AND(Budget!F52,"AAAAAH1e/Tc=")</f>
        <v>#VALUE!</v>
      </c>
      <c r="BE3" t="e">
        <f>AND(Budget!G52,"AAAAAH1e/Tg=")</f>
        <v>#VALUE!</v>
      </c>
      <c r="BF3" t="e">
        <f>AND(Budget!H52,"AAAAAH1e/Tk=")</f>
        <v>#VALUE!</v>
      </c>
      <c r="BG3" t="e">
        <f>AND(Budget!I52,"AAAAAH1e/To=")</f>
        <v>#VALUE!</v>
      </c>
      <c r="BH3" t="e">
        <f>AND(Budget!J52,"AAAAAH1e/Ts=")</f>
        <v>#VALUE!</v>
      </c>
      <c r="BI3">
        <f>IF(Budget!53:53,"AAAAAH1e/Tw=",0)</f>
        <v>0</v>
      </c>
      <c r="BJ3" t="e">
        <f>AND(Budget!A53,"AAAAAH1e/T0=")</f>
        <v>#VALUE!</v>
      </c>
      <c r="BK3" t="e">
        <f>AND(Budget!B53,"AAAAAH1e/T4=")</f>
        <v>#VALUE!</v>
      </c>
      <c r="BL3" t="b">
        <f>AND(Budget!C53,"AAAAAH1e/T8=")</f>
        <v>1</v>
      </c>
      <c r="BM3" t="b">
        <f>AND(Budget!D53,"AAAAAH1e/UA=")</f>
        <v>1</v>
      </c>
      <c r="BN3" t="e">
        <f>AND(Budget!E53,"AAAAAH1e/UE=")</f>
        <v>#VALUE!</v>
      </c>
      <c r="BO3" t="e">
        <f>AND(Budget!F53,"AAAAAH1e/UI=")</f>
        <v>#VALUE!</v>
      </c>
      <c r="BP3" t="e">
        <f>AND(Budget!G53,"AAAAAH1e/UM=")</f>
        <v>#VALUE!</v>
      </c>
      <c r="BQ3" t="e">
        <f>AND(Budget!H53,"AAAAAH1e/UQ=")</f>
        <v>#VALUE!</v>
      </c>
      <c r="BR3" t="e">
        <f>AND(Budget!I53,"AAAAAH1e/UU=")</f>
        <v>#VALUE!</v>
      </c>
      <c r="BS3" t="e">
        <f>AND(Budget!J53,"AAAAAH1e/UY=")</f>
        <v>#VALUE!</v>
      </c>
      <c r="BT3">
        <f>IF(Budget!54:54,"AAAAAH1e/Uc=",0)</f>
        <v>0</v>
      </c>
      <c r="BU3" t="e">
        <f>AND(Budget!A54,"AAAAAH1e/Ug=")</f>
        <v>#VALUE!</v>
      </c>
      <c r="BV3" t="e">
        <f>AND(Budget!B54,"AAAAAH1e/Uk=")</f>
        <v>#VALUE!</v>
      </c>
      <c r="BW3" t="b">
        <f>AND(Budget!C54,"AAAAAH1e/Uo=")</f>
        <v>1</v>
      </c>
      <c r="BX3" t="e">
        <f>AND(Budget!D54,"AAAAAH1e/Us=")</f>
        <v>#VALUE!</v>
      </c>
      <c r="BY3" t="e">
        <f>AND(Budget!E54,"AAAAAH1e/Uw=")</f>
        <v>#VALUE!</v>
      </c>
      <c r="BZ3" t="e">
        <f>AND(Budget!F54,"AAAAAH1e/U0=")</f>
        <v>#VALUE!</v>
      </c>
      <c r="CA3" t="e">
        <f>AND(Budget!G54,"AAAAAH1e/U4=")</f>
        <v>#VALUE!</v>
      </c>
      <c r="CB3" t="e">
        <f>AND(Budget!H54,"AAAAAH1e/U8=")</f>
        <v>#VALUE!</v>
      </c>
      <c r="CC3" t="e">
        <f>AND(Budget!I54,"AAAAAH1e/VA=")</f>
        <v>#VALUE!</v>
      </c>
      <c r="CD3" t="e">
        <f>AND(Budget!J54,"AAAAAH1e/VE=")</f>
        <v>#VALUE!</v>
      </c>
      <c r="CE3">
        <f>IF(Budget!55:55,"AAAAAH1e/VI=",0)</f>
        <v>0</v>
      </c>
      <c r="CF3" t="e">
        <f>AND(Budget!A55,"AAAAAH1e/VM=")</f>
        <v>#VALUE!</v>
      </c>
      <c r="CG3" t="e">
        <f>AND(Budget!B55,"AAAAAH1e/VQ=")</f>
        <v>#VALUE!</v>
      </c>
      <c r="CH3" t="e">
        <f>AND(Budget!C55,"AAAAAH1e/VU=")</f>
        <v>#VALUE!</v>
      </c>
      <c r="CI3" t="b">
        <f>AND(Budget!D55,"AAAAAH1e/VY=")</f>
        <v>1</v>
      </c>
      <c r="CJ3" t="e">
        <f>AND(Budget!E55,"AAAAAH1e/Vc=")</f>
        <v>#VALUE!</v>
      </c>
      <c r="CK3" t="e">
        <f>AND(Budget!F55,"AAAAAH1e/Vg=")</f>
        <v>#VALUE!</v>
      </c>
      <c r="CL3" t="e">
        <f>AND(Budget!G55,"AAAAAH1e/Vk=")</f>
        <v>#VALUE!</v>
      </c>
      <c r="CM3" t="e">
        <f>AND(Budget!H55,"AAAAAH1e/Vo=")</f>
        <v>#VALUE!</v>
      </c>
      <c r="CN3" t="e">
        <f>AND(Budget!I55,"AAAAAH1e/Vs=")</f>
        <v>#VALUE!</v>
      </c>
      <c r="CO3" t="e">
        <f>AND(Budget!J55,"AAAAAH1e/Vw=")</f>
        <v>#VALUE!</v>
      </c>
      <c r="CP3">
        <f>IF(Budget!56:56,"AAAAAH1e/V0=",0)</f>
        <v>0</v>
      </c>
      <c r="CQ3" t="e">
        <f>AND(Budget!A56,"AAAAAH1e/V4=")</f>
        <v>#VALUE!</v>
      </c>
      <c r="CR3" t="e">
        <f>AND(Budget!B56,"AAAAAH1e/V8=")</f>
        <v>#VALUE!</v>
      </c>
      <c r="CS3" t="e">
        <f>AND(Budget!C56,"AAAAAH1e/WA=")</f>
        <v>#VALUE!</v>
      </c>
      <c r="CT3" t="e">
        <f>AND(Budget!D56,"AAAAAH1e/WE=")</f>
        <v>#VALUE!</v>
      </c>
      <c r="CU3" t="e">
        <f>AND(Budget!E56,"AAAAAH1e/WI=")</f>
        <v>#VALUE!</v>
      </c>
      <c r="CV3" t="e">
        <f>AND(Budget!F56,"AAAAAH1e/WM=")</f>
        <v>#VALUE!</v>
      </c>
      <c r="CW3" t="e">
        <f>AND(Budget!G56,"AAAAAH1e/WQ=")</f>
        <v>#VALUE!</v>
      </c>
      <c r="CX3" t="e">
        <f>AND(Budget!H56,"AAAAAH1e/WU=")</f>
        <v>#VALUE!</v>
      </c>
      <c r="CY3" t="e">
        <f>AND(Budget!I56,"AAAAAH1e/WY=")</f>
        <v>#VALUE!</v>
      </c>
      <c r="CZ3" t="e">
        <f>AND(Budget!J56,"AAAAAH1e/Wc=")</f>
        <v>#VALUE!</v>
      </c>
      <c r="DA3">
        <f>IF(Budget!57:57,"AAAAAH1e/Wg=",0)</f>
        <v>0</v>
      </c>
      <c r="DB3" t="e">
        <f>AND(Budget!A57,"AAAAAH1e/Wk=")</f>
        <v>#VALUE!</v>
      </c>
      <c r="DC3" t="e">
        <f>AND(Budget!B57,"AAAAAH1e/Wo=")</f>
        <v>#VALUE!</v>
      </c>
      <c r="DD3" t="e">
        <f>AND(Budget!C57,"AAAAAH1e/Ws=")</f>
        <v>#VALUE!</v>
      </c>
      <c r="DE3" t="e">
        <f>AND(Budget!D57,"AAAAAH1e/Ww=")</f>
        <v>#VALUE!</v>
      </c>
      <c r="DF3" t="e">
        <f>AND(Budget!E57,"AAAAAH1e/W0=")</f>
        <v>#VALUE!</v>
      </c>
      <c r="DG3" t="e">
        <f>AND(Budget!F57,"AAAAAH1e/W4=")</f>
        <v>#VALUE!</v>
      </c>
      <c r="DH3" t="e">
        <f>AND(Budget!G57,"AAAAAH1e/W8=")</f>
        <v>#VALUE!</v>
      </c>
      <c r="DI3" t="e">
        <f>AND(Budget!H57,"AAAAAH1e/XA=")</f>
        <v>#VALUE!</v>
      </c>
      <c r="DJ3" t="e">
        <f>AND(Budget!I57,"AAAAAH1e/XE=")</f>
        <v>#VALUE!</v>
      </c>
      <c r="DK3" t="e">
        <f>AND(Budget!J57,"AAAAAH1e/XI=")</f>
        <v>#VALUE!</v>
      </c>
      <c r="DL3">
        <f>IF(Budget!58:58,"AAAAAH1e/XM=",0)</f>
        <v>0</v>
      </c>
      <c r="DM3" t="e">
        <f>AND(Budget!A58,"AAAAAH1e/XQ=")</f>
        <v>#VALUE!</v>
      </c>
      <c r="DN3" t="e">
        <f>AND(Budget!B58,"AAAAAH1e/XU=")</f>
        <v>#VALUE!</v>
      </c>
      <c r="DO3" t="b">
        <f>AND(Budget!C58,"AAAAAH1e/XY=")</f>
        <v>1</v>
      </c>
      <c r="DP3" t="b">
        <f>AND(Budget!D58,"AAAAAH1e/Xc=")</f>
        <v>1</v>
      </c>
      <c r="DQ3" t="e">
        <f>AND(Budget!E58,"AAAAAH1e/Xg=")</f>
        <v>#VALUE!</v>
      </c>
      <c r="DR3" t="e">
        <f>AND(Budget!F58,"AAAAAH1e/Xk=")</f>
        <v>#VALUE!</v>
      </c>
      <c r="DS3" t="e">
        <f>AND(Budget!G58,"AAAAAH1e/Xo=")</f>
        <v>#VALUE!</v>
      </c>
      <c r="DT3" t="e">
        <f>AND(Budget!H58,"AAAAAH1e/Xs=")</f>
        <v>#VALUE!</v>
      </c>
      <c r="DU3" t="e">
        <f>AND(Budget!I58,"AAAAAH1e/Xw=")</f>
        <v>#VALUE!</v>
      </c>
      <c r="DV3" t="e">
        <f>AND(Budget!J58,"AAAAAH1e/X0=")</f>
        <v>#VALUE!</v>
      </c>
      <c r="DW3">
        <f>IF(Budget!59:59,"AAAAAH1e/X4=",0)</f>
        <v>0</v>
      </c>
      <c r="DX3" t="e">
        <f>AND(Budget!A59,"AAAAAH1e/X8=")</f>
        <v>#VALUE!</v>
      </c>
      <c r="DY3" t="e">
        <f>AND(Budget!B59,"AAAAAH1e/YA=")</f>
        <v>#VALUE!</v>
      </c>
      <c r="DZ3" t="b">
        <f>AND(Budget!C59,"AAAAAH1e/YE=")</f>
        <v>1</v>
      </c>
      <c r="EA3" t="b">
        <f>AND(Budget!D59,"AAAAAH1e/YI=")</f>
        <v>1</v>
      </c>
      <c r="EB3" t="e">
        <f>AND(Budget!E59,"AAAAAH1e/YM=")</f>
        <v>#VALUE!</v>
      </c>
      <c r="EC3" t="e">
        <f>AND(Budget!F59,"AAAAAH1e/YQ=")</f>
        <v>#VALUE!</v>
      </c>
      <c r="ED3" t="e">
        <f>AND(Budget!G59,"AAAAAH1e/YU=")</f>
        <v>#VALUE!</v>
      </c>
      <c r="EE3" t="e">
        <f>AND(Budget!H59,"AAAAAH1e/YY=")</f>
        <v>#VALUE!</v>
      </c>
      <c r="EF3" t="e">
        <f>AND(Budget!I59,"AAAAAH1e/Yc=")</f>
        <v>#VALUE!</v>
      </c>
      <c r="EG3" t="e">
        <f>AND(Budget!J59,"AAAAAH1e/Yg=")</f>
        <v>#VALUE!</v>
      </c>
      <c r="EH3">
        <f>IF(Budget!60:60,"AAAAAH1e/Yk=",0)</f>
        <v>0</v>
      </c>
      <c r="EI3" t="e">
        <f>AND(Budget!A60,"AAAAAH1e/Yo=")</f>
        <v>#VALUE!</v>
      </c>
      <c r="EJ3" t="e">
        <f>AND(Budget!B60,"AAAAAH1e/Ys=")</f>
        <v>#VALUE!</v>
      </c>
      <c r="EK3" t="b">
        <f>AND(Budget!C60,"AAAAAH1e/Yw=")</f>
        <v>1</v>
      </c>
      <c r="EL3" t="e">
        <f>AND(Budget!D60,"AAAAAH1e/Y0=")</f>
        <v>#VALUE!</v>
      </c>
      <c r="EM3" t="e">
        <f>AND(Budget!E60,"AAAAAH1e/Y4=")</f>
        <v>#VALUE!</v>
      </c>
      <c r="EN3" t="e">
        <f>AND(Budget!F60,"AAAAAH1e/Y8=")</f>
        <v>#VALUE!</v>
      </c>
      <c r="EO3" t="e">
        <f>AND(Budget!G60,"AAAAAH1e/ZA=")</f>
        <v>#VALUE!</v>
      </c>
      <c r="EP3" t="e">
        <f>AND(Budget!H60,"AAAAAH1e/ZE=")</f>
        <v>#VALUE!</v>
      </c>
      <c r="EQ3" t="e">
        <f>AND(Budget!I60,"AAAAAH1e/ZI=")</f>
        <v>#VALUE!</v>
      </c>
      <c r="ER3" t="e">
        <f>AND(Budget!J60,"AAAAAH1e/ZM=")</f>
        <v>#VALUE!</v>
      </c>
      <c r="ES3">
        <f>IF(Budget!61:61,"AAAAAH1e/ZQ=",0)</f>
        <v>0</v>
      </c>
      <c r="ET3" t="e">
        <f>AND(Budget!A61,"AAAAAH1e/ZU=")</f>
        <v>#VALUE!</v>
      </c>
      <c r="EU3" t="e">
        <f>AND(Budget!B61,"AAAAAH1e/ZY=")</f>
        <v>#VALUE!</v>
      </c>
      <c r="EV3" t="e">
        <f>AND(Budget!C61,"AAAAAH1e/Zc=")</f>
        <v>#VALUE!</v>
      </c>
      <c r="EW3" t="b">
        <f>AND(Budget!D61,"AAAAAH1e/Zg=")</f>
        <v>1</v>
      </c>
      <c r="EX3" t="e">
        <f>AND(Budget!E61,"AAAAAH1e/Zk=")</f>
        <v>#VALUE!</v>
      </c>
      <c r="EY3" t="e">
        <f>AND(Budget!F61,"AAAAAH1e/Zo=")</f>
        <v>#VALUE!</v>
      </c>
      <c r="EZ3" t="e">
        <f>AND(Budget!G61,"AAAAAH1e/Zs=")</f>
        <v>#VALUE!</v>
      </c>
      <c r="FA3" t="e">
        <f>AND(Budget!H61,"AAAAAH1e/Zw=")</f>
        <v>#VALUE!</v>
      </c>
      <c r="FB3" t="e">
        <f>AND(Budget!I61,"AAAAAH1e/Z0=")</f>
        <v>#VALUE!</v>
      </c>
      <c r="FC3" t="e">
        <f>AND(Budget!J61,"AAAAAH1e/Z4=")</f>
        <v>#VALUE!</v>
      </c>
      <c r="FD3">
        <f>IF(Budget!A:A,"AAAAAH1e/Z8=",0)</f>
        <v>0</v>
      </c>
      <c r="FE3">
        <f>IF(Budget!B:B,"AAAAAH1e/aA=",0)</f>
        <v>0</v>
      </c>
      <c r="FF3">
        <f>IF(Budget!C:C,"AAAAAH1e/aE=",0)</f>
        <v>0</v>
      </c>
      <c r="FG3">
        <f>IF(Budget!D:D,"AAAAAH1e/aI=",0)</f>
        <v>0</v>
      </c>
      <c r="FH3">
        <f>IF(Budget!E:E,"AAAAAH1e/aM=",0)</f>
        <v>0</v>
      </c>
      <c r="FI3">
        <f>IF(Budget!F:F,"AAAAAH1e/aQ=",0)</f>
        <v>0</v>
      </c>
      <c r="FJ3">
        <f>IF(Budget!G:G,"AAAAAH1e/aU=",0)</f>
        <v>0</v>
      </c>
      <c r="FK3">
        <f>IF(Budget!H:H,"AAAAAH1e/aY=",0)</f>
        <v>0</v>
      </c>
      <c r="FL3">
        <f>IF(Budget!I:I,"AAAAAH1e/ac=",0)</f>
        <v>0</v>
      </c>
      <c r="FM3">
        <f>IF(Budget!J:J,"AAAAAH1e/ag=",0)</f>
        <v>0</v>
      </c>
      <c r="FN3" t="e">
        <f>IF(#REF!,"AAAAAH1e/ak=",0)</f>
        <v>#REF!</v>
      </c>
      <c r="FO3" t="e">
        <f>AND(#REF!,"AAAAAH1e/ao=")</f>
        <v>#REF!</v>
      </c>
      <c r="FP3" t="e">
        <f>AND(#REF!,"AAAAAH1e/as=")</f>
        <v>#REF!</v>
      </c>
      <c r="FQ3" t="e">
        <f>AND(#REF!,"AAAAAH1e/aw=")</f>
        <v>#REF!</v>
      </c>
      <c r="FR3" t="e">
        <f>AND(#REF!,"AAAAAH1e/a0=")</f>
        <v>#REF!</v>
      </c>
      <c r="FS3" t="e">
        <f>AND(#REF!,"AAAAAH1e/a4=")</f>
        <v>#REF!</v>
      </c>
      <c r="FT3" t="e">
        <f>AND(#REF!,"AAAAAH1e/a8=")</f>
        <v>#REF!</v>
      </c>
      <c r="FU3" t="e">
        <f>AND(#REF!,"AAAAAH1e/bA=")</f>
        <v>#REF!</v>
      </c>
      <c r="FV3" t="e">
        <f>AND(#REF!,"AAAAAH1e/bE=")</f>
        <v>#REF!</v>
      </c>
      <c r="FW3" t="e">
        <f>AND(#REF!,"AAAAAH1e/bI=")</f>
        <v>#REF!</v>
      </c>
      <c r="FX3" t="e">
        <f>AND(#REF!,"AAAAAH1e/bM=")</f>
        <v>#REF!</v>
      </c>
      <c r="FY3" t="e">
        <f>IF(#REF!,"AAAAAH1e/bQ=",0)</f>
        <v>#REF!</v>
      </c>
      <c r="FZ3" t="e">
        <f>AND(#REF!,"AAAAAH1e/bU=")</f>
        <v>#REF!</v>
      </c>
      <c r="GA3" t="e">
        <f>AND(#REF!,"AAAAAH1e/bY=")</f>
        <v>#REF!</v>
      </c>
      <c r="GB3" t="e">
        <f>AND(#REF!,"AAAAAH1e/bc=")</f>
        <v>#REF!</v>
      </c>
      <c r="GC3" t="e">
        <f>AND(#REF!,"AAAAAH1e/bg=")</f>
        <v>#REF!</v>
      </c>
      <c r="GD3" t="e">
        <f>AND(#REF!,"AAAAAH1e/bk=")</f>
        <v>#REF!</v>
      </c>
      <c r="GE3" t="e">
        <f>AND(#REF!,"AAAAAH1e/bo=")</f>
        <v>#REF!</v>
      </c>
      <c r="GF3" t="e">
        <f>AND(#REF!,"AAAAAH1e/bs=")</f>
        <v>#REF!</v>
      </c>
      <c r="GG3" t="e">
        <f>AND(#REF!,"AAAAAH1e/bw=")</f>
        <v>#REF!</v>
      </c>
      <c r="GH3" t="e">
        <f>AND(#REF!,"AAAAAH1e/b0=")</f>
        <v>#REF!</v>
      </c>
      <c r="GI3" t="e">
        <f>AND(#REF!,"AAAAAH1e/b4=")</f>
        <v>#REF!</v>
      </c>
      <c r="GJ3" t="e">
        <f>IF(#REF!,"AAAAAH1e/b8=",0)</f>
        <v>#REF!</v>
      </c>
      <c r="GK3" t="e">
        <f>AND(#REF!,"AAAAAH1e/cA=")</f>
        <v>#REF!</v>
      </c>
      <c r="GL3" t="e">
        <f>AND(#REF!,"AAAAAH1e/cE=")</f>
        <v>#REF!</v>
      </c>
      <c r="GM3" t="e">
        <f>AND(#REF!,"AAAAAH1e/cI=")</f>
        <v>#REF!</v>
      </c>
      <c r="GN3" t="e">
        <f>AND(#REF!,"AAAAAH1e/cM=")</f>
        <v>#REF!</v>
      </c>
      <c r="GO3" t="e">
        <f>AND(#REF!,"AAAAAH1e/cQ=")</f>
        <v>#REF!</v>
      </c>
      <c r="GP3" t="e">
        <f>AND(#REF!,"AAAAAH1e/cU=")</f>
        <v>#REF!</v>
      </c>
      <c r="GQ3" t="e">
        <f>AND(#REF!,"AAAAAH1e/cY=")</f>
        <v>#REF!</v>
      </c>
      <c r="GR3" t="e">
        <f>AND(#REF!,"AAAAAH1e/cc=")</f>
        <v>#REF!</v>
      </c>
      <c r="GS3" t="e">
        <f>AND(#REF!,"AAAAAH1e/cg=")</f>
        <v>#REF!</v>
      </c>
      <c r="GT3" t="e">
        <f>AND(#REF!,"AAAAAH1e/ck=")</f>
        <v>#REF!</v>
      </c>
      <c r="GU3" t="e">
        <f>IF(#REF!,"AAAAAH1e/co=",0)</f>
        <v>#REF!</v>
      </c>
      <c r="GV3" t="e">
        <f>AND(#REF!,"AAAAAH1e/cs=")</f>
        <v>#REF!</v>
      </c>
      <c r="GW3" t="e">
        <f>AND(#REF!,"AAAAAH1e/cw=")</f>
        <v>#REF!</v>
      </c>
      <c r="GX3" t="e">
        <f>AND(#REF!,"AAAAAH1e/c0=")</f>
        <v>#REF!</v>
      </c>
      <c r="GY3" t="e">
        <f>AND(#REF!,"AAAAAH1e/c4=")</f>
        <v>#REF!</v>
      </c>
      <c r="GZ3" t="e">
        <f>AND(#REF!,"AAAAAH1e/c8=")</f>
        <v>#REF!</v>
      </c>
      <c r="HA3" t="e">
        <f>AND(#REF!,"AAAAAH1e/dA=")</f>
        <v>#REF!</v>
      </c>
      <c r="HB3" t="e">
        <f>AND(#REF!,"AAAAAH1e/dE=")</f>
        <v>#REF!</v>
      </c>
      <c r="HC3" t="e">
        <f>AND(#REF!,"AAAAAH1e/dI=")</f>
        <v>#REF!</v>
      </c>
      <c r="HD3" t="e">
        <f>AND(#REF!,"AAAAAH1e/dM=")</f>
        <v>#REF!</v>
      </c>
      <c r="HE3" t="e">
        <f>AND(#REF!,"AAAAAH1e/dQ=")</f>
        <v>#REF!</v>
      </c>
      <c r="HF3" t="e">
        <f>IF(#REF!,"AAAAAH1e/dU=",0)</f>
        <v>#REF!</v>
      </c>
      <c r="HG3" t="e">
        <f>AND(#REF!,"AAAAAH1e/dY=")</f>
        <v>#REF!</v>
      </c>
      <c r="HH3" t="e">
        <f>AND(#REF!,"AAAAAH1e/dc=")</f>
        <v>#REF!</v>
      </c>
      <c r="HI3" t="e">
        <f>AND(#REF!,"AAAAAH1e/dg=")</f>
        <v>#REF!</v>
      </c>
      <c r="HJ3" t="e">
        <f>AND(#REF!,"AAAAAH1e/dk=")</f>
        <v>#REF!</v>
      </c>
      <c r="HK3" t="e">
        <f>AND(#REF!,"AAAAAH1e/do=")</f>
        <v>#REF!</v>
      </c>
      <c r="HL3" t="e">
        <f>AND(#REF!,"AAAAAH1e/ds=")</f>
        <v>#REF!</v>
      </c>
      <c r="HM3" t="e">
        <f>AND(#REF!,"AAAAAH1e/dw=")</f>
        <v>#REF!</v>
      </c>
      <c r="HN3" t="e">
        <f>AND(#REF!,"AAAAAH1e/d0=")</f>
        <v>#REF!</v>
      </c>
      <c r="HO3" t="e">
        <f>AND(#REF!,"AAAAAH1e/d4=")</f>
        <v>#REF!</v>
      </c>
      <c r="HP3" t="e">
        <f>AND(#REF!,"AAAAAH1e/d8=")</f>
        <v>#REF!</v>
      </c>
      <c r="HQ3" t="e">
        <f>IF(#REF!,"AAAAAH1e/eA=",0)</f>
        <v>#REF!</v>
      </c>
      <c r="HR3" t="e">
        <f>AND(#REF!,"AAAAAH1e/eE=")</f>
        <v>#REF!</v>
      </c>
      <c r="HS3" t="e">
        <f>AND(#REF!,"AAAAAH1e/eI=")</f>
        <v>#REF!</v>
      </c>
      <c r="HT3" t="e">
        <f>AND(#REF!,"AAAAAH1e/eM=")</f>
        <v>#REF!</v>
      </c>
      <c r="HU3" t="e">
        <f>AND(#REF!,"AAAAAH1e/eQ=")</f>
        <v>#REF!</v>
      </c>
      <c r="HV3" t="e">
        <f>AND(#REF!,"AAAAAH1e/eU=")</f>
        <v>#REF!</v>
      </c>
      <c r="HW3" t="e">
        <f>AND(#REF!,"AAAAAH1e/eY=")</f>
        <v>#REF!</v>
      </c>
      <c r="HX3" t="e">
        <f>AND(#REF!,"AAAAAH1e/ec=")</f>
        <v>#REF!</v>
      </c>
      <c r="HY3" t="e">
        <f>AND(#REF!,"AAAAAH1e/eg=")</f>
        <v>#REF!</v>
      </c>
      <c r="HZ3" t="e">
        <f>AND(#REF!,"AAAAAH1e/ek=")</f>
        <v>#REF!</v>
      </c>
      <c r="IA3" t="e">
        <f>AND(#REF!,"AAAAAH1e/eo=")</f>
        <v>#REF!</v>
      </c>
      <c r="IB3" t="e">
        <f>IF(#REF!,"AAAAAH1e/es=",0)</f>
        <v>#REF!</v>
      </c>
      <c r="IC3" t="e">
        <f>AND(#REF!,"AAAAAH1e/ew=")</f>
        <v>#REF!</v>
      </c>
      <c r="ID3" t="e">
        <f>AND(#REF!,"AAAAAH1e/e0=")</f>
        <v>#REF!</v>
      </c>
      <c r="IE3" t="e">
        <f>AND(#REF!,"AAAAAH1e/e4=")</f>
        <v>#REF!</v>
      </c>
      <c r="IF3" t="e">
        <f>AND(#REF!,"AAAAAH1e/e8=")</f>
        <v>#REF!</v>
      </c>
      <c r="IG3" t="e">
        <f>AND(#REF!,"AAAAAH1e/fA=")</f>
        <v>#REF!</v>
      </c>
      <c r="IH3" t="e">
        <f>AND(#REF!,"AAAAAH1e/fE=")</f>
        <v>#REF!</v>
      </c>
      <c r="II3" t="e">
        <f>AND(#REF!,"AAAAAH1e/fI=")</f>
        <v>#REF!</v>
      </c>
      <c r="IJ3" t="e">
        <f>AND(#REF!,"AAAAAH1e/fM=")</f>
        <v>#REF!</v>
      </c>
      <c r="IK3" t="e">
        <f>AND(#REF!,"AAAAAH1e/fQ=")</f>
        <v>#REF!</v>
      </c>
      <c r="IL3" t="e">
        <f>AND(#REF!,"AAAAAH1e/fU=")</f>
        <v>#REF!</v>
      </c>
      <c r="IM3" t="e">
        <f>IF(#REF!,"AAAAAH1e/fY=",0)</f>
        <v>#REF!</v>
      </c>
      <c r="IN3" t="e">
        <f>AND(#REF!,"AAAAAH1e/fc=")</f>
        <v>#REF!</v>
      </c>
      <c r="IO3" t="e">
        <f>AND(#REF!,"AAAAAH1e/fg=")</f>
        <v>#REF!</v>
      </c>
      <c r="IP3" t="e">
        <f>AND(#REF!,"AAAAAH1e/fk=")</f>
        <v>#REF!</v>
      </c>
      <c r="IQ3" t="e">
        <f>AND(#REF!,"AAAAAH1e/fo=")</f>
        <v>#REF!</v>
      </c>
      <c r="IR3" t="e">
        <f>AND(#REF!,"AAAAAH1e/fs=")</f>
        <v>#REF!</v>
      </c>
      <c r="IS3" t="e">
        <f>AND(#REF!,"AAAAAH1e/fw=")</f>
        <v>#REF!</v>
      </c>
      <c r="IT3" t="e">
        <f>AND(#REF!,"AAAAAH1e/f0=")</f>
        <v>#REF!</v>
      </c>
      <c r="IU3" t="e">
        <f>AND(#REF!,"AAAAAH1e/f4=")</f>
        <v>#REF!</v>
      </c>
      <c r="IV3" t="e">
        <f>AND(#REF!,"AAAAAH1e/f8=")</f>
        <v>#REF!</v>
      </c>
    </row>
    <row r="4" spans="1:256" x14ac:dyDescent="0.25">
      <c r="A4" t="e">
        <f>AND(#REF!,"AAAAAH7/1wA=")</f>
        <v>#REF!</v>
      </c>
      <c r="B4" t="e">
        <f>IF(#REF!,"AAAAAH7/1wE=",0)</f>
        <v>#REF!</v>
      </c>
      <c r="C4" t="e">
        <f>AND(#REF!,"AAAAAH7/1wI=")</f>
        <v>#REF!</v>
      </c>
      <c r="D4" t="e">
        <f>AND(#REF!,"AAAAAH7/1wM=")</f>
        <v>#REF!</v>
      </c>
      <c r="E4" t="e">
        <f>AND(#REF!,"AAAAAH7/1wQ=")</f>
        <v>#REF!</v>
      </c>
      <c r="F4" t="e">
        <f>AND(#REF!,"AAAAAH7/1wU=")</f>
        <v>#REF!</v>
      </c>
      <c r="G4" t="e">
        <f>AND(#REF!,"AAAAAH7/1wY=")</f>
        <v>#REF!</v>
      </c>
      <c r="H4" t="e">
        <f>AND(#REF!,"AAAAAH7/1wc=")</f>
        <v>#REF!</v>
      </c>
      <c r="I4" t="e">
        <f>AND(#REF!,"AAAAAH7/1wg=")</f>
        <v>#REF!</v>
      </c>
      <c r="J4" t="e">
        <f>AND(#REF!,"AAAAAH7/1wk=")</f>
        <v>#REF!</v>
      </c>
      <c r="K4" t="e">
        <f>AND(#REF!,"AAAAAH7/1wo=")</f>
        <v>#REF!</v>
      </c>
      <c r="L4" t="e">
        <f>AND(#REF!,"AAAAAH7/1ws=")</f>
        <v>#REF!</v>
      </c>
      <c r="M4" t="e">
        <f>IF(#REF!,"AAAAAH7/1ww=",0)</f>
        <v>#REF!</v>
      </c>
      <c r="N4" t="e">
        <f>AND(#REF!,"AAAAAH7/1w0=")</f>
        <v>#REF!</v>
      </c>
      <c r="O4" t="e">
        <f>AND(#REF!,"AAAAAH7/1w4=")</f>
        <v>#REF!</v>
      </c>
      <c r="P4" t="e">
        <f>AND(#REF!,"AAAAAH7/1w8=")</f>
        <v>#REF!</v>
      </c>
      <c r="Q4" t="e">
        <f>AND(#REF!,"AAAAAH7/1xA=")</f>
        <v>#REF!</v>
      </c>
      <c r="R4" t="e">
        <f>AND(#REF!,"AAAAAH7/1xE=")</f>
        <v>#REF!</v>
      </c>
      <c r="S4" t="e">
        <f>AND(#REF!,"AAAAAH7/1xI=")</f>
        <v>#REF!</v>
      </c>
      <c r="T4" t="e">
        <f>AND(#REF!,"AAAAAH7/1xM=")</f>
        <v>#REF!</v>
      </c>
      <c r="U4" t="e">
        <f>AND(#REF!,"AAAAAH7/1xQ=")</f>
        <v>#REF!</v>
      </c>
      <c r="V4" t="e">
        <f>AND(#REF!,"AAAAAH7/1xU=")</f>
        <v>#REF!</v>
      </c>
      <c r="W4" t="e">
        <f>AND(#REF!,"AAAAAH7/1xY=")</f>
        <v>#REF!</v>
      </c>
      <c r="X4" t="e">
        <f>IF(#REF!,"AAAAAH7/1xc=",0)</f>
        <v>#REF!</v>
      </c>
      <c r="Y4" t="e">
        <f>AND(#REF!,"AAAAAH7/1xg=")</f>
        <v>#REF!</v>
      </c>
      <c r="Z4" t="e">
        <f>AND(#REF!,"AAAAAH7/1xk=")</f>
        <v>#REF!</v>
      </c>
      <c r="AA4" t="e">
        <f>AND(#REF!,"AAAAAH7/1xo=")</f>
        <v>#REF!</v>
      </c>
      <c r="AB4" t="e">
        <f>AND(#REF!,"AAAAAH7/1xs=")</f>
        <v>#REF!</v>
      </c>
      <c r="AC4" t="e">
        <f>AND(#REF!,"AAAAAH7/1xw=")</f>
        <v>#REF!</v>
      </c>
      <c r="AD4" t="e">
        <f>AND(#REF!,"AAAAAH7/1x0=")</f>
        <v>#REF!</v>
      </c>
      <c r="AE4" t="e">
        <f>AND(#REF!,"AAAAAH7/1x4=")</f>
        <v>#REF!</v>
      </c>
      <c r="AF4" t="e">
        <f>AND(#REF!,"AAAAAH7/1x8=")</f>
        <v>#REF!</v>
      </c>
      <c r="AG4" t="e">
        <f>AND(#REF!,"AAAAAH7/1yA=")</f>
        <v>#REF!</v>
      </c>
      <c r="AH4" t="e">
        <f>AND(#REF!,"AAAAAH7/1yE=")</f>
        <v>#REF!</v>
      </c>
      <c r="AI4" t="e">
        <f>IF(#REF!,"AAAAAH7/1yI=",0)</f>
        <v>#REF!</v>
      </c>
      <c r="AJ4" t="e">
        <f>AND(#REF!,"AAAAAH7/1yM=")</f>
        <v>#REF!</v>
      </c>
      <c r="AK4" t="e">
        <f>AND(#REF!,"AAAAAH7/1yQ=")</f>
        <v>#REF!</v>
      </c>
      <c r="AL4" t="e">
        <f>AND(#REF!,"AAAAAH7/1yU=")</f>
        <v>#REF!</v>
      </c>
      <c r="AM4" t="e">
        <f>AND(#REF!,"AAAAAH7/1yY=")</f>
        <v>#REF!</v>
      </c>
      <c r="AN4" t="e">
        <f>AND(#REF!,"AAAAAH7/1yc=")</f>
        <v>#REF!</v>
      </c>
      <c r="AO4" t="e">
        <f>AND(#REF!,"AAAAAH7/1yg=")</f>
        <v>#REF!</v>
      </c>
      <c r="AP4" t="e">
        <f>AND(#REF!,"AAAAAH7/1yk=")</f>
        <v>#REF!</v>
      </c>
      <c r="AQ4" t="e">
        <f>AND(#REF!,"AAAAAH7/1yo=")</f>
        <v>#REF!</v>
      </c>
      <c r="AR4" t="e">
        <f>AND(#REF!,"AAAAAH7/1ys=")</f>
        <v>#REF!</v>
      </c>
      <c r="AS4" t="e">
        <f>AND(#REF!,"AAAAAH7/1yw=")</f>
        <v>#REF!</v>
      </c>
      <c r="AT4" t="e">
        <f>IF(#REF!,"AAAAAH7/1y0=",0)</f>
        <v>#REF!</v>
      </c>
      <c r="AU4" t="e">
        <f>AND(#REF!,"AAAAAH7/1y4=")</f>
        <v>#REF!</v>
      </c>
      <c r="AV4" t="e">
        <f>AND(#REF!,"AAAAAH7/1y8=")</f>
        <v>#REF!</v>
      </c>
      <c r="AW4" t="e">
        <f>AND(#REF!,"AAAAAH7/1zA=")</f>
        <v>#REF!</v>
      </c>
      <c r="AX4" t="e">
        <f>AND(#REF!,"AAAAAH7/1zE=")</f>
        <v>#REF!</v>
      </c>
      <c r="AY4" t="e">
        <f>AND(#REF!,"AAAAAH7/1zI=")</f>
        <v>#REF!</v>
      </c>
      <c r="AZ4" t="e">
        <f>AND(#REF!,"AAAAAH7/1zM=")</f>
        <v>#REF!</v>
      </c>
      <c r="BA4" t="e">
        <f>AND(#REF!,"AAAAAH7/1zQ=")</f>
        <v>#REF!</v>
      </c>
      <c r="BB4" t="e">
        <f>AND(#REF!,"AAAAAH7/1zU=")</f>
        <v>#REF!</v>
      </c>
      <c r="BC4" t="e">
        <f>AND(#REF!,"AAAAAH7/1zY=")</f>
        <v>#REF!</v>
      </c>
      <c r="BD4" t="e">
        <f>AND(#REF!,"AAAAAH7/1zc=")</f>
        <v>#REF!</v>
      </c>
      <c r="BE4" t="e">
        <f>IF(#REF!,"AAAAAH7/1zg=",0)</f>
        <v>#REF!</v>
      </c>
      <c r="BF4" t="e">
        <f>AND(#REF!,"AAAAAH7/1zk=")</f>
        <v>#REF!</v>
      </c>
      <c r="BG4" t="e">
        <f>AND(#REF!,"AAAAAH7/1zo=")</f>
        <v>#REF!</v>
      </c>
      <c r="BH4" t="e">
        <f>AND(#REF!,"AAAAAH7/1zs=")</f>
        <v>#REF!</v>
      </c>
      <c r="BI4" t="e">
        <f>AND(#REF!,"AAAAAH7/1zw=")</f>
        <v>#REF!</v>
      </c>
      <c r="BJ4" t="e">
        <f>AND(#REF!,"AAAAAH7/1z0=")</f>
        <v>#REF!</v>
      </c>
      <c r="BK4" t="e">
        <f>AND(#REF!,"AAAAAH7/1z4=")</f>
        <v>#REF!</v>
      </c>
      <c r="BL4" t="e">
        <f>AND(#REF!,"AAAAAH7/1z8=")</f>
        <v>#REF!</v>
      </c>
      <c r="BM4" t="e">
        <f>AND(#REF!,"AAAAAH7/10A=")</f>
        <v>#REF!</v>
      </c>
      <c r="BN4" t="e">
        <f>AND(#REF!,"AAAAAH7/10E=")</f>
        <v>#REF!</v>
      </c>
      <c r="BO4" t="e">
        <f>AND(#REF!,"AAAAAH7/10I=")</f>
        <v>#REF!</v>
      </c>
      <c r="BP4" t="e">
        <f>IF(#REF!,"AAAAAH7/10M=",0)</f>
        <v>#REF!</v>
      </c>
      <c r="BQ4" t="e">
        <f>AND(#REF!,"AAAAAH7/10Q=")</f>
        <v>#REF!</v>
      </c>
      <c r="BR4" t="e">
        <f>AND(#REF!,"AAAAAH7/10U=")</f>
        <v>#REF!</v>
      </c>
      <c r="BS4" t="e">
        <f>AND(#REF!,"AAAAAH7/10Y=")</f>
        <v>#REF!</v>
      </c>
      <c r="BT4" t="e">
        <f>AND(#REF!,"AAAAAH7/10c=")</f>
        <v>#REF!</v>
      </c>
      <c r="BU4" t="e">
        <f>AND(#REF!,"AAAAAH7/10g=")</f>
        <v>#REF!</v>
      </c>
      <c r="BV4" t="e">
        <f>AND(#REF!,"AAAAAH7/10k=")</f>
        <v>#REF!</v>
      </c>
      <c r="BW4" t="e">
        <f>AND(#REF!,"AAAAAH7/10o=")</f>
        <v>#REF!</v>
      </c>
      <c r="BX4" t="e">
        <f>AND(#REF!,"AAAAAH7/10s=")</f>
        <v>#REF!</v>
      </c>
      <c r="BY4" t="e">
        <f>AND(#REF!,"AAAAAH7/10w=")</f>
        <v>#REF!</v>
      </c>
      <c r="BZ4" t="e">
        <f>AND(#REF!,"AAAAAH7/100=")</f>
        <v>#REF!</v>
      </c>
      <c r="CA4" t="e">
        <f>IF(#REF!,"AAAAAH7/104=",0)</f>
        <v>#REF!</v>
      </c>
      <c r="CB4" t="e">
        <f>AND(#REF!,"AAAAAH7/108=")</f>
        <v>#REF!</v>
      </c>
      <c r="CC4" t="e">
        <f>AND(#REF!,"AAAAAH7/11A=")</f>
        <v>#REF!</v>
      </c>
      <c r="CD4" t="e">
        <f>AND(#REF!,"AAAAAH7/11E=")</f>
        <v>#REF!</v>
      </c>
      <c r="CE4" t="e">
        <f>AND(#REF!,"AAAAAH7/11I=")</f>
        <v>#REF!</v>
      </c>
      <c r="CF4" t="e">
        <f>AND(#REF!,"AAAAAH7/11M=")</f>
        <v>#REF!</v>
      </c>
      <c r="CG4" t="e">
        <f>AND(#REF!,"AAAAAH7/11Q=")</f>
        <v>#REF!</v>
      </c>
      <c r="CH4" t="e">
        <f>AND(#REF!,"AAAAAH7/11U=")</f>
        <v>#REF!</v>
      </c>
      <c r="CI4" t="e">
        <f>AND(#REF!,"AAAAAH7/11Y=")</f>
        <v>#REF!</v>
      </c>
      <c r="CJ4" t="e">
        <f>AND(#REF!,"AAAAAH7/11c=")</f>
        <v>#REF!</v>
      </c>
      <c r="CK4" t="e">
        <f>AND(#REF!,"AAAAAH7/11g=")</f>
        <v>#REF!</v>
      </c>
      <c r="CL4" t="e">
        <f>IF(#REF!,"AAAAAH7/11k=",0)</f>
        <v>#REF!</v>
      </c>
      <c r="CM4" t="e">
        <f>AND(#REF!,"AAAAAH7/11o=")</f>
        <v>#REF!</v>
      </c>
      <c r="CN4" t="e">
        <f>AND(#REF!,"AAAAAH7/11s=")</f>
        <v>#REF!</v>
      </c>
      <c r="CO4" t="e">
        <f>AND(#REF!,"AAAAAH7/11w=")</f>
        <v>#REF!</v>
      </c>
      <c r="CP4" t="e">
        <f>AND(#REF!,"AAAAAH7/110=")</f>
        <v>#REF!</v>
      </c>
      <c r="CQ4" t="e">
        <f>AND(#REF!,"AAAAAH7/114=")</f>
        <v>#REF!</v>
      </c>
      <c r="CR4" t="e">
        <f>AND(#REF!,"AAAAAH7/118=")</f>
        <v>#REF!</v>
      </c>
      <c r="CS4" t="e">
        <f>AND(#REF!,"AAAAAH7/12A=")</f>
        <v>#REF!</v>
      </c>
      <c r="CT4" t="e">
        <f>AND(#REF!,"AAAAAH7/12E=")</f>
        <v>#REF!</v>
      </c>
      <c r="CU4" t="e">
        <f>AND(#REF!,"AAAAAH7/12I=")</f>
        <v>#REF!</v>
      </c>
      <c r="CV4" t="e">
        <f>AND(#REF!,"AAAAAH7/12M=")</f>
        <v>#REF!</v>
      </c>
      <c r="CW4" t="e">
        <f>IF(#REF!,"AAAAAH7/12Q=",0)</f>
        <v>#REF!</v>
      </c>
      <c r="CX4" t="e">
        <f>AND(#REF!,"AAAAAH7/12U=")</f>
        <v>#REF!</v>
      </c>
      <c r="CY4" t="e">
        <f>AND(#REF!,"AAAAAH7/12Y=")</f>
        <v>#REF!</v>
      </c>
      <c r="CZ4" t="e">
        <f>AND(#REF!,"AAAAAH7/12c=")</f>
        <v>#REF!</v>
      </c>
      <c r="DA4" t="e">
        <f>AND(#REF!,"AAAAAH7/12g=")</f>
        <v>#REF!</v>
      </c>
      <c r="DB4" t="e">
        <f>AND(#REF!,"AAAAAH7/12k=")</f>
        <v>#REF!</v>
      </c>
      <c r="DC4" t="e">
        <f>AND(#REF!,"AAAAAH7/12o=")</f>
        <v>#REF!</v>
      </c>
      <c r="DD4" t="e">
        <f>AND(#REF!,"AAAAAH7/12s=")</f>
        <v>#REF!</v>
      </c>
      <c r="DE4" t="e">
        <f>AND(#REF!,"AAAAAH7/12w=")</f>
        <v>#REF!</v>
      </c>
      <c r="DF4" t="e">
        <f>AND(#REF!,"AAAAAH7/120=")</f>
        <v>#REF!</v>
      </c>
      <c r="DG4" t="e">
        <f>AND(#REF!,"AAAAAH7/124=")</f>
        <v>#REF!</v>
      </c>
      <c r="DH4" t="e">
        <f>IF(#REF!,"AAAAAH7/128=",0)</f>
        <v>#REF!</v>
      </c>
      <c r="DI4" t="e">
        <f>AND(#REF!,"AAAAAH7/13A=")</f>
        <v>#REF!</v>
      </c>
      <c r="DJ4" t="e">
        <f>AND(#REF!,"AAAAAH7/13E=")</f>
        <v>#REF!</v>
      </c>
      <c r="DK4" t="e">
        <f>AND(#REF!,"AAAAAH7/13I=")</f>
        <v>#REF!</v>
      </c>
      <c r="DL4" t="e">
        <f>AND(#REF!,"AAAAAH7/13M=")</f>
        <v>#REF!</v>
      </c>
      <c r="DM4" t="e">
        <f>AND(#REF!,"AAAAAH7/13Q=")</f>
        <v>#REF!</v>
      </c>
      <c r="DN4" t="e">
        <f>AND(#REF!,"AAAAAH7/13U=")</f>
        <v>#REF!</v>
      </c>
      <c r="DO4" t="e">
        <f>AND(#REF!,"AAAAAH7/13Y=")</f>
        <v>#REF!</v>
      </c>
      <c r="DP4" t="e">
        <f>AND(#REF!,"AAAAAH7/13c=")</f>
        <v>#REF!</v>
      </c>
      <c r="DQ4" t="e">
        <f>AND(#REF!,"AAAAAH7/13g=")</f>
        <v>#REF!</v>
      </c>
      <c r="DR4" t="e">
        <f>AND(#REF!,"AAAAAH7/13k=")</f>
        <v>#REF!</v>
      </c>
      <c r="DS4" t="e">
        <f>IF(#REF!,"AAAAAH7/13o=",0)</f>
        <v>#REF!</v>
      </c>
      <c r="DT4" t="e">
        <f>AND(#REF!,"AAAAAH7/13s=")</f>
        <v>#REF!</v>
      </c>
      <c r="DU4" t="e">
        <f>AND(#REF!,"AAAAAH7/13w=")</f>
        <v>#REF!</v>
      </c>
      <c r="DV4" t="e">
        <f>AND(#REF!,"AAAAAH7/130=")</f>
        <v>#REF!</v>
      </c>
      <c r="DW4" t="e">
        <f>AND(#REF!,"AAAAAH7/134=")</f>
        <v>#REF!</v>
      </c>
      <c r="DX4" t="e">
        <f>AND(#REF!,"AAAAAH7/138=")</f>
        <v>#REF!</v>
      </c>
      <c r="DY4" t="e">
        <f>AND(#REF!,"AAAAAH7/14A=")</f>
        <v>#REF!</v>
      </c>
      <c r="DZ4" t="e">
        <f>AND(#REF!,"AAAAAH7/14E=")</f>
        <v>#REF!</v>
      </c>
      <c r="EA4" t="e">
        <f>AND(#REF!,"AAAAAH7/14I=")</f>
        <v>#REF!</v>
      </c>
      <c r="EB4" t="e">
        <f>AND(#REF!,"AAAAAH7/14M=")</f>
        <v>#REF!</v>
      </c>
      <c r="EC4" t="e">
        <f>AND(#REF!,"AAAAAH7/14Q=")</f>
        <v>#REF!</v>
      </c>
      <c r="ED4" t="e">
        <f>IF(#REF!,"AAAAAH7/14U=",0)</f>
        <v>#REF!</v>
      </c>
      <c r="EE4" t="e">
        <f>AND(#REF!,"AAAAAH7/14Y=")</f>
        <v>#REF!</v>
      </c>
      <c r="EF4" t="e">
        <f>AND(#REF!,"AAAAAH7/14c=")</f>
        <v>#REF!</v>
      </c>
      <c r="EG4" t="e">
        <f>AND(#REF!,"AAAAAH7/14g=")</f>
        <v>#REF!</v>
      </c>
      <c r="EH4" t="e">
        <f>AND(#REF!,"AAAAAH7/14k=")</f>
        <v>#REF!</v>
      </c>
      <c r="EI4" t="e">
        <f>AND(#REF!,"AAAAAH7/14o=")</f>
        <v>#REF!</v>
      </c>
      <c r="EJ4" t="e">
        <f>AND(#REF!,"AAAAAH7/14s=")</f>
        <v>#REF!</v>
      </c>
      <c r="EK4" t="e">
        <f>AND(#REF!,"AAAAAH7/14w=")</f>
        <v>#REF!</v>
      </c>
      <c r="EL4" t="e">
        <f>AND(#REF!,"AAAAAH7/140=")</f>
        <v>#REF!</v>
      </c>
      <c r="EM4" t="e">
        <f>AND(#REF!,"AAAAAH7/144=")</f>
        <v>#REF!</v>
      </c>
      <c r="EN4" t="e">
        <f>AND(#REF!,"AAAAAH7/148=")</f>
        <v>#REF!</v>
      </c>
      <c r="EO4" t="e">
        <f>IF(#REF!,"AAAAAH7/15A=",0)</f>
        <v>#REF!</v>
      </c>
      <c r="EP4" t="e">
        <f>AND(#REF!,"AAAAAH7/15E=")</f>
        <v>#REF!</v>
      </c>
      <c r="EQ4" t="e">
        <f>AND(#REF!,"AAAAAH7/15I=")</f>
        <v>#REF!</v>
      </c>
      <c r="ER4" t="e">
        <f>AND(#REF!,"AAAAAH7/15M=")</f>
        <v>#REF!</v>
      </c>
      <c r="ES4" t="e">
        <f>AND(#REF!,"AAAAAH7/15Q=")</f>
        <v>#REF!</v>
      </c>
      <c r="ET4" t="e">
        <f>AND(#REF!,"AAAAAH7/15U=")</f>
        <v>#REF!</v>
      </c>
      <c r="EU4" t="e">
        <f>AND(#REF!,"AAAAAH7/15Y=")</f>
        <v>#REF!</v>
      </c>
      <c r="EV4" t="e">
        <f>AND(#REF!,"AAAAAH7/15c=")</f>
        <v>#REF!</v>
      </c>
      <c r="EW4" t="e">
        <f>AND(#REF!,"AAAAAH7/15g=")</f>
        <v>#REF!</v>
      </c>
      <c r="EX4" t="e">
        <f>AND(#REF!,"AAAAAH7/15k=")</f>
        <v>#REF!</v>
      </c>
      <c r="EY4" t="e">
        <f>AND(#REF!,"AAAAAH7/15o=")</f>
        <v>#REF!</v>
      </c>
      <c r="EZ4" t="e">
        <f>IF(#REF!,"AAAAAH7/15s=",0)</f>
        <v>#REF!</v>
      </c>
      <c r="FA4" t="e">
        <f>AND(#REF!,"AAAAAH7/15w=")</f>
        <v>#REF!</v>
      </c>
      <c r="FB4" t="e">
        <f>AND(#REF!,"AAAAAH7/150=")</f>
        <v>#REF!</v>
      </c>
      <c r="FC4" t="e">
        <f>AND(#REF!,"AAAAAH7/154=")</f>
        <v>#REF!</v>
      </c>
      <c r="FD4" t="e">
        <f>AND(#REF!,"AAAAAH7/158=")</f>
        <v>#REF!</v>
      </c>
      <c r="FE4" t="e">
        <f>AND(#REF!,"AAAAAH7/16A=")</f>
        <v>#REF!</v>
      </c>
      <c r="FF4" t="e">
        <f>AND(#REF!,"AAAAAH7/16E=")</f>
        <v>#REF!</v>
      </c>
      <c r="FG4" t="e">
        <f>AND(#REF!,"AAAAAH7/16I=")</f>
        <v>#REF!</v>
      </c>
      <c r="FH4" t="e">
        <f>AND(#REF!,"AAAAAH7/16M=")</f>
        <v>#REF!</v>
      </c>
      <c r="FI4" t="e">
        <f>AND(#REF!,"AAAAAH7/16Q=")</f>
        <v>#REF!</v>
      </c>
      <c r="FJ4" t="e">
        <f>AND(#REF!,"AAAAAH7/16U=")</f>
        <v>#REF!</v>
      </c>
      <c r="FK4" t="e">
        <f>IF(#REF!,"AAAAAH7/16Y=",0)</f>
        <v>#REF!</v>
      </c>
      <c r="FL4" t="e">
        <f>AND(#REF!,"AAAAAH7/16c=")</f>
        <v>#REF!</v>
      </c>
      <c r="FM4" t="e">
        <f>AND(#REF!,"AAAAAH7/16g=")</f>
        <v>#REF!</v>
      </c>
      <c r="FN4" t="e">
        <f>AND(#REF!,"AAAAAH7/16k=")</f>
        <v>#REF!</v>
      </c>
      <c r="FO4" t="e">
        <f>AND(#REF!,"AAAAAH7/16o=")</f>
        <v>#REF!</v>
      </c>
      <c r="FP4" t="e">
        <f>AND(#REF!,"AAAAAH7/16s=")</f>
        <v>#REF!</v>
      </c>
      <c r="FQ4" t="e">
        <f>AND(#REF!,"AAAAAH7/16w=")</f>
        <v>#REF!</v>
      </c>
      <c r="FR4" t="e">
        <f>AND(#REF!,"AAAAAH7/160=")</f>
        <v>#REF!</v>
      </c>
      <c r="FS4" t="e">
        <f>AND(#REF!,"AAAAAH7/164=")</f>
        <v>#REF!</v>
      </c>
      <c r="FT4" t="e">
        <f>AND(#REF!,"AAAAAH7/168=")</f>
        <v>#REF!</v>
      </c>
      <c r="FU4" t="e">
        <f>AND(#REF!,"AAAAAH7/17A=")</f>
        <v>#REF!</v>
      </c>
      <c r="FV4" t="e">
        <f>IF(#REF!,"AAAAAH7/17E=",0)</f>
        <v>#REF!</v>
      </c>
      <c r="FW4" t="e">
        <f>AND(#REF!,"AAAAAH7/17I=")</f>
        <v>#REF!</v>
      </c>
      <c r="FX4" t="e">
        <f>AND(#REF!,"AAAAAH7/17M=")</f>
        <v>#REF!</v>
      </c>
      <c r="FY4" t="e">
        <f>AND(#REF!,"AAAAAH7/17Q=")</f>
        <v>#REF!</v>
      </c>
      <c r="FZ4" t="e">
        <f>AND(#REF!,"AAAAAH7/17U=")</f>
        <v>#REF!</v>
      </c>
      <c r="GA4" t="e">
        <f>AND(#REF!,"AAAAAH7/17Y=")</f>
        <v>#REF!</v>
      </c>
      <c r="GB4" t="e">
        <f>AND(#REF!,"AAAAAH7/17c=")</f>
        <v>#REF!</v>
      </c>
      <c r="GC4" t="e">
        <f>AND(#REF!,"AAAAAH7/17g=")</f>
        <v>#REF!</v>
      </c>
      <c r="GD4" t="e">
        <f>AND(#REF!,"AAAAAH7/17k=")</f>
        <v>#REF!</v>
      </c>
      <c r="GE4" t="e">
        <f>AND(#REF!,"AAAAAH7/17o=")</f>
        <v>#REF!</v>
      </c>
      <c r="GF4" t="e">
        <f>AND(#REF!,"AAAAAH7/17s=")</f>
        <v>#REF!</v>
      </c>
      <c r="GG4" t="e">
        <f>IF(#REF!,"AAAAAH7/17w=",0)</f>
        <v>#REF!</v>
      </c>
      <c r="GH4" t="e">
        <f>AND(#REF!,"AAAAAH7/170=")</f>
        <v>#REF!</v>
      </c>
      <c r="GI4" t="e">
        <f>AND(#REF!,"AAAAAH7/174=")</f>
        <v>#REF!</v>
      </c>
      <c r="GJ4" t="e">
        <f>AND(#REF!,"AAAAAH7/178=")</f>
        <v>#REF!</v>
      </c>
      <c r="GK4" t="e">
        <f>AND(#REF!,"AAAAAH7/18A=")</f>
        <v>#REF!</v>
      </c>
      <c r="GL4" t="e">
        <f>AND(#REF!,"AAAAAH7/18E=")</f>
        <v>#REF!</v>
      </c>
      <c r="GM4" t="e">
        <f>AND(#REF!,"AAAAAH7/18I=")</f>
        <v>#REF!</v>
      </c>
      <c r="GN4" t="e">
        <f>AND(#REF!,"AAAAAH7/18M=")</f>
        <v>#REF!</v>
      </c>
      <c r="GO4" t="e">
        <f>AND(#REF!,"AAAAAH7/18Q=")</f>
        <v>#REF!</v>
      </c>
      <c r="GP4" t="e">
        <f>AND(#REF!,"AAAAAH7/18U=")</f>
        <v>#REF!</v>
      </c>
      <c r="GQ4" t="e">
        <f>AND(#REF!,"AAAAAH7/18Y=")</f>
        <v>#REF!</v>
      </c>
      <c r="GR4" t="e">
        <f>IF(#REF!,"AAAAAH7/18c=",0)</f>
        <v>#REF!</v>
      </c>
      <c r="GS4" t="e">
        <f>AND(#REF!,"AAAAAH7/18g=")</f>
        <v>#REF!</v>
      </c>
      <c r="GT4" t="e">
        <f>AND(#REF!,"AAAAAH7/18k=")</f>
        <v>#REF!</v>
      </c>
      <c r="GU4" t="e">
        <f>AND(#REF!,"AAAAAH7/18o=")</f>
        <v>#REF!</v>
      </c>
      <c r="GV4" t="e">
        <f>AND(#REF!,"AAAAAH7/18s=")</f>
        <v>#REF!</v>
      </c>
      <c r="GW4" t="e">
        <f>AND(#REF!,"AAAAAH7/18w=")</f>
        <v>#REF!</v>
      </c>
      <c r="GX4" t="e">
        <f>AND(#REF!,"AAAAAH7/180=")</f>
        <v>#REF!</v>
      </c>
      <c r="GY4" t="e">
        <f>AND(#REF!,"AAAAAH7/184=")</f>
        <v>#REF!</v>
      </c>
      <c r="GZ4" t="e">
        <f>AND(#REF!,"AAAAAH7/188=")</f>
        <v>#REF!</v>
      </c>
      <c r="HA4" t="e">
        <f>AND(#REF!,"AAAAAH7/19A=")</f>
        <v>#REF!</v>
      </c>
      <c r="HB4" t="e">
        <f>AND(#REF!,"AAAAAH7/19E=")</f>
        <v>#REF!</v>
      </c>
      <c r="HC4" t="e">
        <f>IF(#REF!,"AAAAAH7/19I=",0)</f>
        <v>#REF!</v>
      </c>
      <c r="HD4" t="e">
        <f>AND(#REF!,"AAAAAH7/19M=")</f>
        <v>#REF!</v>
      </c>
      <c r="HE4" t="e">
        <f>AND(#REF!,"AAAAAH7/19Q=")</f>
        <v>#REF!</v>
      </c>
      <c r="HF4" t="e">
        <f>AND(#REF!,"AAAAAH7/19U=")</f>
        <v>#REF!</v>
      </c>
      <c r="HG4" t="e">
        <f>AND(#REF!,"AAAAAH7/19Y=")</f>
        <v>#REF!</v>
      </c>
      <c r="HH4" t="e">
        <f>AND(#REF!,"AAAAAH7/19c=")</f>
        <v>#REF!</v>
      </c>
      <c r="HI4" t="e">
        <f>AND(#REF!,"AAAAAH7/19g=")</f>
        <v>#REF!</v>
      </c>
      <c r="HJ4" t="e">
        <f>AND(#REF!,"AAAAAH7/19k=")</f>
        <v>#REF!</v>
      </c>
      <c r="HK4" t="e">
        <f>AND(#REF!,"AAAAAH7/19o=")</f>
        <v>#REF!</v>
      </c>
      <c r="HL4" t="e">
        <f>AND(#REF!,"AAAAAH7/19s=")</f>
        <v>#REF!</v>
      </c>
      <c r="HM4" t="e">
        <f>AND(#REF!,"AAAAAH7/19w=")</f>
        <v>#REF!</v>
      </c>
      <c r="HN4" t="e">
        <f>IF(#REF!,"AAAAAH7/190=",0)</f>
        <v>#REF!</v>
      </c>
      <c r="HO4" t="e">
        <f>AND(#REF!,"AAAAAH7/194=")</f>
        <v>#REF!</v>
      </c>
      <c r="HP4" t="e">
        <f>AND(#REF!,"AAAAAH7/198=")</f>
        <v>#REF!</v>
      </c>
      <c r="HQ4" t="e">
        <f>AND(#REF!,"AAAAAH7/1+A=")</f>
        <v>#REF!</v>
      </c>
      <c r="HR4" t="e">
        <f>AND(#REF!,"AAAAAH7/1+E=")</f>
        <v>#REF!</v>
      </c>
      <c r="HS4" t="e">
        <f>AND(#REF!,"AAAAAH7/1+I=")</f>
        <v>#REF!</v>
      </c>
      <c r="HT4" t="e">
        <f>AND(#REF!,"AAAAAH7/1+M=")</f>
        <v>#REF!</v>
      </c>
      <c r="HU4" t="e">
        <f>AND(#REF!,"AAAAAH7/1+Q=")</f>
        <v>#REF!</v>
      </c>
      <c r="HV4" t="e">
        <f>AND(#REF!,"AAAAAH7/1+U=")</f>
        <v>#REF!</v>
      </c>
      <c r="HW4" t="e">
        <f>AND(#REF!,"AAAAAH7/1+Y=")</f>
        <v>#REF!</v>
      </c>
      <c r="HX4" t="e">
        <f>AND(#REF!,"AAAAAH7/1+c=")</f>
        <v>#REF!</v>
      </c>
      <c r="HY4" t="e">
        <f>IF(#REF!,"AAAAAH7/1+g=",0)</f>
        <v>#REF!</v>
      </c>
      <c r="HZ4" t="e">
        <f>AND(#REF!,"AAAAAH7/1+k=")</f>
        <v>#REF!</v>
      </c>
      <c r="IA4" t="e">
        <f>AND(#REF!,"AAAAAH7/1+o=")</f>
        <v>#REF!</v>
      </c>
      <c r="IB4" t="e">
        <f>AND(#REF!,"AAAAAH7/1+s=")</f>
        <v>#REF!</v>
      </c>
      <c r="IC4" t="e">
        <f>AND(#REF!,"AAAAAH7/1+w=")</f>
        <v>#REF!</v>
      </c>
      <c r="ID4" t="e">
        <f>AND(#REF!,"AAAAAH7/1+0=")</f>
        <v>#REF!</v>
      </c>
      <c r="IE4" t="e">
        <f>AND(#REF!,"AAAAAH7/1+4=")</f>
        <v>#REF!</v>
      </c>
      <c r="IF4" t="e">
        <f>AND(#REF!,"AAAAAH7/1+8=")</f>
        <v>#REF!</v>
      </c>
      <c r="IG4" t="e">
        <f>AND(#REF!,"AAAAAH7/1/A=")</f>
        <v>#REF!</v>
      </c>
      <c r="IH4" t="e">
        <f>AND(#REF!,"AAAAAH7/1/E=")</f>
        <v>#REF!</v>
      </c>
      <c r="II4" t="e">
        <f>AND(#REF!,"AAAAAH7/1/I=")</f>
        <v>#REF!</v>
      </c>
      <c r="IJ4" t="e">
        <f>IF(#REF!,"AAAAAH7/1/M=",0)</f>
        <v>#REF!</v>
      </c>
      <c r="IK4" t="e">
        <f>IF(#REF!,"AAAAAH7/1/Q=",0)</f>
        <v>#REF!</v>
      </c>
      <c r="IL4" t="e">
        <f>IF(#REF!,"AAAAAH7/1/U=",0)</f>
        <v>#REF!</v>
      </c>
      <c r="IM4" t="e">
        <f>IF(#REF!,"AAAAAH7/1/Y=",0)</f>
        <v>#REF!</v>
      </c>
      <c r="IN4" t="e">
        <f>IF(#REF!,"AAAAAH7/1/c=",0)</f>
        <v>#REF!</v>
      </c>
      <c r="IO4" t="e">
        <f>IF(#REF!,"AAAAAH7/1/g=",0)</f>
        <v>#REF!</v>
      </c>
      <c r="IP4" t="e">
        <f>IF(#REF!,"AAAAAH7/1/k=",0)</f>
        <v>#REF!</v>
      </c>
      <c r="IQ4" t="e">
        <f>IF(#REF!,"AAAAAH7/1/o=",0)</f>
        <v>#REF!</v>
      </c>
      <c r="IR4" t="e">
        <f>IF(#REF!,"AAAAAH7/1/s=",0)</f>
        <v>#REF!</v>
      </c>
      <c r="IS4" t="e">
        <f>IF(#REF!,"AAAAAH7/1/w=",0)</f>
        <v>#REF!</v>
      </c>
      <c r="IT4" t="e">
        <f>IF(#REF!,"AAAAAH7/1/0=",0)</f>
        <v>#REF!</v>
      </c>
      <c r="IU4" t="e">
        <f>AND(#REF!,"AAAAAH7/1/4=")</f>
        <v>#REF!</v>
      </c>
      <c r="IV4" t="e">
        <f>AND(#REF!,"AAAAAH7/1/8=")</f>
        <v>#REF!</v>
      </c>
    </row>
    <row r="5" spans="1:256" x14ac:dyDescent="0.25">
      <c r="A5" t="e">
        <f>AND(#REF!,"AAAAAH+uwgA=")</f>
        <v>#REF!</v>
      </c>
      <c r="B5" t="e">
        <f>AND(#REF!,"AAAAAH+uwgE=")</f>
        <v>#REF!</v>
      </c>
      <c r="C5" t="e">
        <f>AND(#REF!,"AAAAAH+uwgI=")</f>
        <v>#REF!</v>
      </c>
      <c r="D5" t="e">
        <f>AND(#REF!,"AAAAAH+uwgM=")</f>
        <v>#REF!</v>
      </c>
      <c r="E5" t="e">
        <f>AND(#REF!,"AAAAAH+uwgQ=")</f>
        <v>#REF!</v>
      </c>
      <c r="F5" t="e">
        <f>AND(#REF!,"AAAAAH+uwgU=")</f>
        <v>#REF!</v>
      </c>
      <c r="G5" t="e">
        <f>AND(#REF!,"AAAAAH+uwgY=")</f>
        <v>#REF!</v>
      </c>
      <c r="H5" t="e">
        <f>AND(#REF!,"AAAAAH+uwgc=")</f>
        <v>#REF!</v>
      </c>
      <c r="I5" t="e">
        <f>AND(#REF!,"AAAAAH+uwgg=")</f>
        <v>#REF!</v>
      </c>
      <c r="J5" t="e">
        <f>AND(#REF!,"AAAAAH+uwgk=")</f>
        <v>#REF!</v>
      </c>
      <c r="K5" t="e">
        <f>AND(#REF!,"AAAAAH+uwgo=")</f>
        <v>#REF!</v>
      </c>
      <c r="L5" t="e">
        <f>AND(#REF!,"AAAAAH+uwgs=")</f>
        <v>#REF!</v>
      </c>
      <c r="M5" t="e">
        <f>AND(#REF!,"AAAAAH+uwgw=")</f>
        <v>#REF!</v>
      </c>
      <c r="N5" t="e">
        <f>AND(#REF!,"AAAAAH+uwg0=")</f>
        <v>#REF!</v>
      </c>
      <c r="O5" t="e">
        <f>AND(#REF!,"AAAAAH+uwg4=")</f>
        <v>#REF!</v>
      </c>
      <c r="P5" t="e">
        <f>AND(#REF!,"AAAAAH+uwg8=")</f>
        <v>#REF!</v>
      </c>
      <c r="Q5" t="e">
        <f>AND(#REF!,"AAAAAH+uwhA=")</f>
        <v>#REF!</v>
      </c>
      <c r="R5" t="e">
        <f>AND(#REF!,"AAAAAH+uwhE=")</f>
        <v>#REF!</v>
      </c>
      <c r="S5" t="e">
        <f>AND(#REF!,"AAAAAH+uwhI=")</f>
        <v>#REF!</v>
      </c>
      <c r="T5" t="e">
        <f>AND(#REF!,"AAAAAH+uwhM=")</f>
        <v>#REF!</v>
      </c>
      <c r="U5" t="e">
        <f>AND(#REF!,"AAAAAH+uwhQ=")</f>
        <v>#REF!</v>
      </c>
      <c r="V5" t="e">
        <f>AND(#REF!,"AAAAAH+uwhU=")</f>
        <v>#REF!</v>
      </c>
      <c r="W5" t="e">
        <f>AND(#REF!,"AAAAAH+uwhY=")</f>
        <v>#REF!</v>
      </c>
      <c r="X5" t="e">
        <f>AND(#REF!,"AAAAAH+uwhc=")</f>
        <v>#REF!</v>
      </c>
      <c r="Y5" t="e">
        <f>AND(#REF!,"AAAAAH+uwhg=")</f>
        <v>#REF!</v>
      </c>
      <c r="Z5" t="e">
        <f>AND(#REF!,"AAAAAH+uwhk=")</f>
        <v>#REF!</v>
      </c>
      <c r="AA5" t="e">
        <f>AND(#REF!,"AAAAAH+uwho=")</f>
        <v>#REF!</v>
      </c>
      <c r="AB5" t="e">
        <f>AND(#REF!,"AAAAAH+uwhs=")</f>
        <v>#REF!</v>
      </c>
      <c r="AC5" t="e">
        <f>AND(#REF!,"AAAAAH+uwhw=")</f>
        <v>#REF!</v>
      </c>
      <c r="AD5" t="e">
        <f>AND(#REF!,"AAAAAH+uwh0=")</f>
        <v>#REF!</v>
      </c>
      <c r="AE5" t="e">
        <f>AND(#REF!,"AAAAAH+uwh4=")</f>
        <v>#REF!</v>
      </c>
      <c r="AF5" t="e">
        <f>AND(#REF!,"AAAAAH+uwh8=")</f>
        <v>#REF!</v>
      </c>
      <c r="AG5" t="e">
        <f>AND(#REF!,"AAAAAH+uwiA=")</f>
        <v>#REF!</v>
      </c>
      <c r="AH5" t="e">
        <f>AND(#REF!,"AAAAAH+uwiE=")</f>
        <v>#REF!</v>
      </c>
      <c r="AI5" t="e">
        <f>AND(#REF!,"AAAAAH+uwiI=")</f>
        <v>#REF!</v>
      </c>
      <c r="AJ5" t="e">
        <f>AND(#REF!,"AAAAAH+uwiM=")</f>
        <v>#REF!</v>
      </c>
      <c r="AK5" t="e">
        <f>AND(#REF!,"AAAAAH+uwiQ=")</f>
        <v>#REF!</v>
      </c>
      <c r="AL5" t="e">
        <f>AND(#REF!,"AAAAAH+uwiU=")</f>
        <v>#REF!</v>
      </c>
      <c r="AM5" t="e">
        <f>AND(#REF!,"AAAAAH+uwiY=")</f>
        <v>#REF!</v>
      </c>
      <c r="AN5" t="e">
        <f>AND(#REF!,"AAAAAH+uwic=")</f>
        <v>#REF!</v>
      </c>
      <c r="AO5" t="e">
        <f>AND(#REF!,"AAAAAH+uwig=")</f>
        <v>#REF!</v>
      </c>
      <c r="AP5" t="e">
        <f>AND(#REF!,"AAAAAH+uwik=")</f>
        <v>#REF!</v>
      </c>
      <c r="AQ5" t="e">
        <f>AND(#REF!,"AAAAAH+uwio=")</f>
        <v>#REF!</v>
      </c>
      <c r="AR5" t="e">
        <f>AND(#REF!,"AAAAAH+uwis=")</f>
        <v>#REF!</v>
      </c>
      <c r="AS5" t="e">
        <f>AND(#REF!,"AAAAAH+uwiw=")</f>
        <v>#REF!</v>
      </c>
      <c r="AT5" t="e">
        <f>AND(#REF!,"AAAAAH+uwi0=")</f>
        <v>#REF!</v>
      </c>
      <c r="AU5" t="e">
        <f>AND(#REF!,"AAAAAH+uwi4=")</f>
        <v>#REF!</v>
      </c>
      <c r="AV5" t="e">
        <f>AND(#REF!,"AAAAAH+uwi8=")</f>
        <v>#REF!</v>
      </c>
      <c r="AW5" t="e">
        <f>AND(#REF!,"AAAAAH+uwjA=")</f>
        <v>#REF!</v>
      </c>
      <c r="AX5" t="e">
        <f>AND(#REF!,"AAAAAH+uwjE=")</f>
        <v>#REF!</v>
      </c>
      <c r="AY5" t="e">
        <f>AND(#REF!,"AAAAAH+uwjI=")</f>
        <v>#REF!</v>
      </c>
      <c r="AZ5" t="e">
        <f>AND(#REF!,"AAAAAH+uwjM=")</f>
        <v>#REF!</v>
      </c>
      <c r="BA5" t="e">
        <f>AND(#REF!,"AAAAAH+uwjQ=")</f>
        <v>#REF!</v>
      </c>
      <c r="BB5" t="e">
        <f>AND(#REF!,"AAAAAH+uwjU=")</f>
        <v>#REF!</v>
      </c>
      <c r="BC5" t="e">
        <f>AND(#REF!,"AAAAAH+uwjY=")</f>
        <v>#REF!</v>
      </c>
      <c r="BD5" t="e">
        <f>AND(#REF!,"AAAAAH+uwjc=")</f>
        <v>#REF!</v>
      </c>
      <c r="BE5" t="e">
        <f>AND(#REF!,"AAAAAH+uwjg=")</f>
        <v>#REF!</v>
      </c>
      <c r="BF5" t="e">
        <f>AND(#REF!,"AAAAAH+uwjk=")</f>
        <v>#REF!</v>
      </c>
      <c r="BG5" t="e">
        <f>AND(#REF!,"AAAAAH+uwjo=")</f>
        <v>#REF!</v>
      </c>
      <c r="BH5" t="e">
        <f>AND(#REF!,"AAAAAH+uwjs=")</f>
        <v>#REF!</v>
      </c>
      <c r="BI5" t="e">
        <f>AND(#REF!,"AAAAAH+uwjw=")</f>
        <v>#REF!</v>
      </c>
      <c r="BJ5" t="e">
        <f>AND(#REF!,"AAAAAH+uwj0=")</f>
        <v>#REF!</v>
      </c>
      <c r="BK5" t="e">
        <f>AND(#REF!,"AAAAAH+uwj4=")</f>
        <v>#REF!</v>
      </c>
      <c r="BL5" t="e">
        <f>AND(#REF!,"AAAAAH+uwj8=")</f>
        <v>#REF!</v>
      </c>
      <c r="BM5" t="e">
        <f>AND(#REF!,"AAAAAH+uwkA=")</f>
        <v>#REF!</v>
      </c>
      <c r="BN5" t="e">
        <f>AND(#REF!,"AAAAAH+uwkE=")</f>
        <v>#REF!</v>
      </c>
      <c r="BO5" t="e">
        <f>AND(#REF!,"AAAAAH+uwkI=")</f>
        <v>#REF!</v>
      </c>
      <c r="BP5" t="e">
        <f>AND(#REF!,"AAAAAH+uwkM=")</f>
        <v>#REF!</v>
      </c>
      <c r="BQ5" t="e">
        <f>AND(#REF!,"AAAAAH+uwkQ=")</f>
        <v>#REF!</v>
      </c>
      <c r="BR5" t="e">
        <f>AND(#REF!,"AAAAAH+uwkU=")</f>
        <v>#REF!</v>
      </c>
      <c r="BS5" t="e">
        <f>AND(#REF!,"AAAAAH+uwkY=")</f>
        <v>#REF!</v>
      </c>
      <c r="BT5" t="e">
        <f>AND(#REF!,"AAAAAH+uwkc=")</f>
        <v>#REF!</v>
      </c>
      <c r="BU5" t="e">
        <f>AND(#REF!,"AAAAAH+uwkg=")</f>
        <v>#REF!</v>
      </c>
      <c r="BV5" t="e">
        <f>AND(#REF!,"AAAAAH+uwkk=")</f>
        <v>#REF!</v>
      </c>
      <c r="BW5" t="e">
        <f>AND(#REF!,"AAAAAH+uwko=")</f>
        <v>#REF!</v>
      </c>
      <c r="BX5" t="e">
        <f>AND(#REF!,"AAAAAH+uwks=")</f>
        <v>#REF!</v>
      </c>
      <c r="BY5" t="e">
        <f>AND(#REF!,"AAAAAH+uwkw=")</f>
        <v>#REF!</v>
      </c>
      <c r="BZ5" t="e">
        <f>AND(#REF!,"AAAAAH+uwk0=")</f>
        <v>#REF!</v>
      </c>
      <c r="CA5" t="e">
        <f>AND(#REF!,"AAAAAH+uwk4=")</f>
        <v>#REF!</v>
      </c>
      <c r="CB5" t="e">
        <f>AND(#REF!,"AAAAAH+uwk8=")</f>
        <v>#REF!</v>
      </c>
      <c r="CC5" t="e">
        <f>AND(#REF!,"AAAAAH+uwlA=")</f>
        <v>#REF!</v>
      </c>
      <c r="CD5" t="e">
        <f>AND(#REF!,"AAAAAH+uwlE=")</f>
        <v>#REF!</v>
      </c>
      <c r="CE5" t="e">
        <f>AND(#REF!,"AAAAAH+uwlI=")</f>
        <v>#REF!</v>
      </c>
      <c r="CF5" t="e">
        <f>AND(#REF!,"AAAAAH+uwlM=")</f>
        <v>#REF!</v>
      </c>
      <c r="CG5" t="e">
        <f>AND(#REF!,"AAAAAH+uwlQ=")</f>
        <v>#REF!</v>
      </c>
      <c r="CH5" t="e">
        <f>AND(#REF!,"AAAAAH+uwlU=")</f>
        <v>#REF!</v>
      </c>
      <c r="CI5" t="e">
        <f>AND(#REF!,"AAAAAH+uwlY=")</f>
        <v>#REF!</v>
      </c>
      <c r="CJ5" t="e">
        <f>AND(#REF!,"AAAAAH+uwlc=")</f>
        <v>#REF!</v>
      </c>
      <c r="CK5" t="e">
        <f>AND(#REF!,"AAAAAH+uwlg=")</f>
        <v>#REF!</v>
      </c>
      <c r="CL5" t="e">
        <f>AND(#REF!,"AAAAAH+uwlk=")</f>
        <v>#REF!</v>
      </c>
      <c r="CM5" t="e">
        <f>AND(#REF!,"AAAAAH+uwlo=")</f>
        <v>#REF!</v>
      </c>
      <c r="CN5" t="e">
        <f>AND(#REF!,"AAAAAH+uwls=")</f>
        <v>#REF!</v>
      </c>
      <c r="CO5" t="e">
        <f>AND(#REF!,"AAAAAH+uwlw=")</f>
        <v>#REF!</v>
      </c>
      <c r="CP5" t="e">
        <f>AND(#REF!,"AAAAAH+uwl0=")</f>
        <v>#REF!</v>
      </c>
      <c r="CQ5" t="e">
        <f>AND(#REF!,"AAAAAH+uwl4=")</f>
        <v>#REF!</v>
      </c>
      <c r="CR5" t="e">
        <f>AND(#REF!,"AAAAAH+uwl8=")</f>
        <v>#REF!</v>
      </c>
      <c r="CS5" t="e">
        <f>AND(#REF!,"AAAAAH+uwmA=")</f>
        <v>#REF!</v>
      </c>
      <c r="CT5" t="e">
        <f>AND(#REF!,"AAAAAH+uwmE=")</f>
        <v>#REF!</v>
      </c>
      <c r="CU5" t="e">
        <f>AND(#REF!,"AAAAAH+uwmI=")</f>
        <v>#REF!</v>
      </c>
      <c r="CV5" t="e">
        <f>AND(#REF!,"AAAAAH+uwmM=")</f>
        <v>#REF!</v>
      </c>
      <c r="CW5" t="e">
        <f>AND(#REF!,"AAAAAH+uwmQ=")</f>
        <v>#REF!</v>
      </c>
      <c r="CX5" t="e">
        <f>AND(#REF!,"AAAAAH+uwmU=")</f>
        <v>#REF!</v>
      </c>
      <c r="CY5" t="e">
        <f>AND(#REF!,"AAAAAH+uwmY=")</f>
        <v>#REF!</v>
      </c>
      <c r="CZ5" t="e">
        <f>AND(#REF!,"AAAAAH+uwmc=")</f>
        <v>#REF!</v>
      </c>
      <c r="DA5" t="e">
        <f>AND(#REF!,"AAAAAH+uwmg=")</f>
        <v>#REF!</v>
      </c>
      <c r="DB5" t="e">
        <f>AND(#REF!,"AAAAAH+uwmk=")</f>
        <v>#REF!</v>
      </c>
      <c r="DC5" t="e">
        <f>AND(#REF!,"AAAAAH+uwmo=")</f>
        <v>#REF!</v>
      </c>
      <c r="DD5" t="e">
        <f>AND(#REF!,"AAAAAH+uwms=")</f>
        <v>#REF!</v>
      </c>
      <c r="DE5" t="e">
        <f>AND(#REF!,"AAAAAH+uwmw=")</f>
        <v>#REF!</v>
      </c>
      <c r="DF5" t="e">
        <f>AND(#REF!,"AAAAAH+uwm0=")</f>
        <v>#REF!</v>
      </c>
      <c r="DG5" t="e">
        <f>AND(#REF!,"AAAAAH+uwm4=")</f>
        <v>#REF!</v>
      </c>
      <c r="DH5" t="e">
        <f>AND(#REF!,"AAAAAH+uwm8=")</f>
        <v>#REF!</v>
      </c>
      <c r="DI5" t="e">
        <f>AND(#REF!,"AAAAAH+uwnA=")</f>
        <v>#REF!</v>
      </c>
      <c r="DJ5" t="e">
        <f>AND(#REF!,"AAAAAH+uwnE=")</f>
        <v>#REF!</v>
      </c>
      <c r="DK5" t="e">
        <f>AND(#REF!,"AAAAAH+uwnI=")</f>
        <v>#REF!</v>
      </c>
      <c r="DL5" t="e">
        <f>AND(#REF!,"AAAAAH+uwnM=")</f>
        <v>#REF!</v>
      </c>
      <c r="DM5" t="e">
        <f>AND(#REF!,"AAAAAH+uwnQ=")</f>
        <v>#REF!</v>
      </c>
      <c r="DN5" t="e">
        <f>AND(#REF!,"AAAAAH+uwnU=")</f>
        <v>#REF!</v>
      </c>
      <c r="DO5" t="e">
        <f>AND(#REF!,"AAAAAH+uwnY=")</f>
        <v>#REF!</v>
      </c>
      <c r="DP5" t="e">
        <f>AND(#REF!,"AAAAAH+uwnc=")</f>
        <v>#REF!</v>
      </c>
      <c r="DQ5" t="e">
        <f>AND(#REF!,"AAAAAH+uwng=")</f>
        <v>#REF!</v>
      </c>
      <c r="DR5" t="e">
        <f>AND(#REF!,"AAAAAH+uwnk=")</f>
        <v>#REF!</v>
      </c>
      <c r="DS5" t="e">
        <f>AND(#REF!,"AAAAAH+uwno=")</f>
        <v>#REF!</v>
      </c>
      <c r="DT5" t="e">
        <f>AND(#REF!,"AAAAAH+uwns=")</f>
        <v>#REF!</v>
      </c>
      <c r="DU5" t="e">
        <f>AND(#REF!,"AAAAAH+uwnw=")</f>
        <v>#REF!</v>
      </c>
      <c r="DV5" t="e">
        <f>AND(#REF!,"AAAAAH+uwn0=")</f>
        <v>#REF!</v>
      </c>
      <c r="DW5" t="e">
        <f>AND(#REF!,"AAAAAH+uwn4=")</f>
        <v>#REF!</v>
      </c>
      <c r="DX5" t="e">
        <f>AND(#REF!,"AAAAAH+uwn8=")</f>
        <v>#REF!</v>
      </c>
      <c r="DY5" t="e">
        <f>AND(#REF!,"AAAAAH+uwoA=")</f>
        <v>#REF!</v>
      </c>
      <c r="DZ5" t="e">
        <f>AND(#REF!,"AAAAAH+uwoE=")</f>
        <v>#REF!</v>
      </c>
      <c r="EA5" t="e">
        <f>AND(#REF!,"AAAAAH+uwoI=")</f>
        <v>#REF!</v>
      </c>
      <c r="EB5" t="e">
        <f>AND(#REF!,"AAAAAH+uwoM=")</f>
        <v>#REF!</v>
      </c>
      <c r="EC5" t="e">
        <f>AND(#REF!,"AAAAAH+uwoQ=")</f>
        <v>#REF!</v>
      </c>
      <c r="ED5" t="e">
        <f>AND(#REF!,"AAAAAH+uwoU=")</f>
        <v>#REF!</v>
      </c>
      <c r="EE5" t="e">
        <f>AND(#REF!,"AAAAAH+uwoY=")</f>
        <v>#REF!</v>
      </c>
      <c r="EF5" t="e">
        <f>AND(#REF!,"AAAAAH+uwoc=")</f>
        <v>#REF!</v>
      </c>
      <c r="EG5" t="e">
        <f>AND(#REF!,"AAAAAH+uwog=")</f>
        <v>#REF!</v>
      </c>
      <c r="EH5" t="e">
        <f>AND(#REF!,"AAAAAH+uwok=")</f>
        <v>#REF!</v>
      </c>
      <c r="EI5" t="e">
        <f>AND(#REF!,"AAAAAH+uwoo=")</f>
        <v>#REF!</v>
      </c>
      <c r="EJ5" t="e">
        <f>AND(#REF!,"AAAAAH+uwos=")</f>
        <v>#REF!</v>
      </c>
      <c r="EK5" t="e">
        <f>AND(#REF!,"AAAAAH+uwow=")</f>
        <v>#REF!</v>
      </c>
      <c r="EL5" t="e">
        <f>AND(#REF!,"AAAAAH+uwo0=")</f>
        <v>#REF!</v>
      </c>
      <c r="EM5" t="e">
        <f>AND(#REF!,"AAAAAH+uwo4=")</f>
        <v>#REF!</v>
      </c>
      <c r="EN5" t="e">
        <f>AND(#REF!,"AAAAAH+uwo8=")</f>
        <v>#REF!</v>
      </c>
      <c r="EO5" t="e">
        <f>AND(#REF!,"AAAAAH+uwpA=")</f>
        <v>#REF!</v>
      </c>
      <c r="EP5" t="e">
        <f>AND(#REF!,"AAAAAH+uwpE=")</f>
        <v>#REF!</v>
      </c>
      <c r="EQ5" t="e">
        <f>AND(#REF!,"AAAAAH+uwpI=")</f>
        <v>#REF!</v>
      </c>
      <c r="ER5" t="e">
        <f>AND(#REF!,"AAAAAH+uwpM=")</f>
        <v>#REF!</v>
      </c>
      <c r="ES5" t="e">
        <f>AND(#REF!,"AAAAAH+uwpQ=")</f>
        <v>#REF!</v>
      </c>
      <c r="ET5" t="e">
        <f>AND(#REF!,"AAAAAH+uwpU=")</f>
        <v>#REF!</v>
      </c>
      <c r="EU5" t="e">
        <f>AND(#REF!,"AAAAAH+uwpY=")</f>
        <v>#REF!</v>
      </c>
      <c r="EV5" t="e">
        <f>AND(#REF!,"AAAAAH+uwpc=")</f>
        <v>#REF!</v>
      </c>
      <c r="EW5" t="e">
        <f>AND(#REF!,"AAAAAH+uwpg=")</f>
        <v>#REF!</v>
      </c>
      <c r="EX5" t="e">
        <f>AND(#REF!,"AAAAAH+uwpk=")</f>
        <v>#REF!</v>
      </c>
      <c r="EY5" t="e">
        <f>AND(#REF!,"AAAAAH+uwpo=")</f>
        <v>#REF!</v>
      </c>
      <c r="EZ5" t="e">
        <f>AND(#REF!,"AAAAAH+uwps=")</f>
        <v>#REF!</v>
      </c>
      <c r="FA5" t="e">
        <f>AND(#REF!,"AAAAAH+uwpw=")</f>
        <v>#REF!</v>
      </c>
      <c r="FB5" t="e">
        <f>AND(#REF!,"AAAAAH+uwp0=")</f>
        <v>#REF!</v>
      </c>
      <c r="FC5" t="e">
        <f>AND(#REF!,"AAAAAH+uwp4=")</f>
        <v>#REF!</v>
      </c>
      <c r="FD5" t="e">
        <f>AND(#REF!,"AAAAAH+uwp8=")</f>
        <v>#REF!</v>
      </c>
      <c r="FE5" t="e">
        <f>AND(#REF!,"AAAAAH+uwqA=")</f>
        <v>#REF!</v>
      </c>
      <c r="FF5" t="e">
        <f>AND(#REF!,"AAAAAH+uwqE=")</f>
        <v>#REF!</v>
      </c>
      <c r="FG5" t="e">
        <f>AND(#REF!,"AAAAAH+uwqI=")</f>
        <v>#REF!</v>
      </c>
      <c r="FH5" t="e">
        <f>AND(#REF!,"AAAAAH+uwqM=")</f>
        <v>#REF!</v>
      </c>
      <c r="FI5" t="e">
        <f>AND(#REF!,"AAAAAH+uwqQ=")</f>
        <v>#REF!</v>
      </c>
      <c r="FJ5" t="e">
        <f>AND(#REF!,"AAAAAH+uwqU=")</f>
        <v>#REF!</v>
      </c>
      <c r="FK5" t="e">
        <f>AND(#REF!,"AAAAAH+uwqY=")</f>
        <v>#REF!</v>
      </c>
      <c r="FL5" t="e">
        <f>AND(#REF!,"AAAAAH+uwqc=")</f>
        <v>#REF!</v>
      </c>
      <c r="FM5" t="e">
        <f>AND(#REF!,"AAAAAH+uwqg=")</f>
        <v>#REF!</v>
      </c>
      <c r="FN5" t="e">
        <f>AND(#REF!,"AAAAAH+uwqk=")</f>
        <v>#REF!</v>
      </c>
      <c r="FO5" t="e">
        <f>AND(#REF!,"AAAAAH+uwqo=")</f>
        <v>#REF!</v>
      </c>
      <c r="FP5" t="e">
        <f>AND(#REF!,"AAAAAH+uwqs=")</f>
        <v>#REF!</v>
      </c>
      <c r="FQ5" t="e">
        <f>AND(#REF!,"AAAAAH+uwqw=")</f>
        <v>#REF!</v>
      </c>
      <c r="FR5" t="e">
        <f>AND(#REF!,"AAAAAH+uwq0=")</f>
        <v>#REF!</v>
      </c>
      <c r="FS5" t="e">
        <f>AND(#REF!,"AAAAAH+uwq4=")</f>
        <v>#REF!</v>
      </c>
      <c r="FT5" t="e">
        <f>AND(#REF!,"AAAAAH+uwq8=")</f>
        <v>#REF!</v>
      </c>
      <c r="FU5" t="e">
        <f>AND(#REF!,"AAAAAH+uwrA=")</f>
        <v>#REF!</v>
      </c>
      <c r="FV5" t="e">
        <f>AND(#REF!,"AAAAAH+uwrE=")</f>
        <v>#REF!</v>
      </c>
      <c r="FW5" t="e">
        <f>AND(#REF!,"AAAAAH+uwrI=")</f>
        <v>#REF!</v>
      </c>
      <c r="FX5" t="e">
        <f>AND(#REF!,"AAAAAH+uwrM=")</f>
        <v>#REF!</v>
      </c>
      <c r="FY5" t="e">
        <f>AND(#REF!,"AAAAAH+uwrQ=")</f>
        <v>#REF!</v>
      </c>
      <c r="FZ5" t="e">
        <f>AND(#REF!,"AAAAAH+uwrU=")</f>
        <v>#REF!</v>
      </c>
      <c r="GA5" t="e">
        <f>AND(#REF!,"AAAAAH+uwrY=")</f>
        <v>#REF!</v>
      </c>
      <c r="GB5" t="e">
        <f>AND(#REF!,"AAAAAH+uwrc=")</f>
        <v>#REF!</v>
      </c>
      <c r="GC5" t="e">
        <f>AND(#REF!,"AAAAAH+uwrg=")</f>
        <v>#REF!</v>
      </c>
      <c r="GD5" t="e">
        <f>AND(#REF!,"AAAAAH+uwrk=")</f>
        <v>#REF!</v>
      </c>
      <c r="GE5" t="e">
        <f>AND(#REF!,"AAAAAH+uwro=")</f>
        <v>#REF!</v>
      </c>
      <c r="GF5" t="e">
        <f>AND(#REF!,"AAAAAH+uwrs=")</f>
        <v>#REF!</v>
      </c>
      <c r="GG5" t="e">
        <f>AND(#REF!,"AAAAAH+uwrw=")</f>
        <v>#REF!</v>
      </c>
      <c r="GH5" t="e">
        <f>AND(#REF!,"AAAAAH+uwr0=")</f>
        <v>#REF!</v>
      </c>
      <c r="GI5" t="e">
        <f>AND(#REF!,"AAAAAH+uwr4=")</f>
        <v>#REF!</v>
      </c>
      <c r="GJ5" t="e">
        <f>AND(#REF!,"AAAAAH+uwr8=")</f>
        <v>#REF!</v>
      </c>
      <c r="GK5" t="e">
        <f>AND(#REF!,"AAAAAH+uwsA=")</f>
        <v>#REF!</v>
      </c>
      <c r="GL5" t="e">
        <f>AND(#REF!,"AAAAAH+uwsE=")</f>
        <v>#REF!</v>
      </c>
      <c r="GM5" t="e">
        <f>AND(#REF!,"AAAAAH+uwsI=")</f>
        <v>#REF!</v>
      </c>
      <c r="GN5" t="e">
        <f>AND(#REF!,"AAAAAH+uwsM=")</f>
        <v>#REF!</v>
      </c>
      <c r="GO5" t="e">
        <f>AND(#REF!,"AAAAAH+uwsQ=")</f>
        <v>#REF!</v>
      </c>
      <c r="GP5" t="e">
        <f>AND(#REF!,"AAAAAH+uwsU=")</f>
        <v>#REF!</v>
      </c>
      <c r="GQ5" t="e">
        <f>AND(#REF!,"AAAAAH+uwsY=")</f>
        <v>#REF!</v>
      </c>
      <c r="GR5" t="e">
        <f>AND(#REF!,"AAAAAH+uwsc=")</f>
        <v>#REF!</v>
      </c>
      <c r="GS5" t="e">
        <f>AND(#REF!,"AAAAAH+uwsg=")</f>
        <v>#REF!</v>
      </c>
      <c r="GT5" t="e">
        <f>AND(#REF!,"AAAAAH+uwsk=")</f>
        <v>#REF!</v>
      </c>
      <c r="GU5" t="e">
        <f>AND(#REF!,"AAAAAH+uwso=")</f>
        <v>#REF!</v>
      </c>
      <c r="GV5" t="e">
        <f>AND(#REF!,"AAAAAH+uwss=")</f>
        <v>#REF!</v>
      </c>
      <c r="GW5" t="e">
        <f>AND(#REF!,"AAAAAH+uwsw=")</f>
        <v>#REF!</v>
      </c>
      <c r="GX5" t="e">
        <f>AND(#REF!,"AAAAAH+uws0=")</f>
        <v>#REF!</v>
      </c>
      <c r="GY5" t="e">
        <f>AND(#REF!,"AAAAAH+uws4=")</f>
        <v>#REF!</v>
      </c>
      <c r="GZ5" t="e">
        <f>AND(#REF!,"AAAAAH+uws8=")</f>
        <v>#REF!</v>
      </c>
      <c r="HA5" t="e">
        <f>AND(#REF!,"AAAAAH+uwtA=")</f>
        <v>#REF!</v>
      </c>
      <c r="HB5" t="e">
        <f>AND(#REF!,"AAAAAH+uwtE=")</f>
        <v>#REF!</v>
      </c>
      <c r="HC5" t="e">
        <f>AND(#REF!,"AAAAAH+uwtI=")</f>
        <v>#REF!</v>
      </c>
      <c r="HD5" t="e">
        <f>AND(#REF!,"AAAAAH+uwtM=")</f>
        <v>#REF!</v>
      </c>
      <c r="HE5" t="e">
        <f>AND(#REF!,"AAAAAH+uwtQ=")</f>
        <v>#REF!</v>
      </c>
      <c r="HF5" t="e">
        <f>AND(#REF!,"AAAAAH+uwtU=")</f>
        <v>#REF!</v>
      </c>
      <c r="HG5" t="e">
        <f>AND(#REF!,"AAAAAH+uwtY=")</f>
        <v>#REF!</v>
      </c>
      <c r="HH5" t="e">
        <f>AND(#REF!,"AAAAAH+uwtc=")</f>
        <v>#REF!</v>
      </c>
      <c r="HI5" t="e">
        <f>AND(#REF!,"AAAAAH+uwtg=")</f>
        <v>#REF!</v>
      </c>
      <c r="HJ5" t="e">
        <f>AND(#REF!,"AAAAAH+uwtk=")</f>
        <v>#REF!</v>
      </c>
      <c r="HK5" t="e">
        <f>AND(#REF!,"AAAAAH+uwto=")</f>
        <v>#REF!</v>
      </c>
      <c r="HL5" t="e">
        <f>AND(#REF!,"AAAAAH+uwts=")</f>
        <v>#REF!</v>
      </c>
      <c r="HM5" t="e">
        <f>AND(#REF!,"AAAAAH+uwtw=")</f>
        <v>#REF!</v>
      </c>
      <c r="HN5" t="e">
        <f>AND(#REF!,"AAAAAH+uwt0=")</f>
        <v>#REF!</v>
      </c>
      <c r="HO5" t="e">
        <f>AND(#REF!,"AAAAAH+uwt4=")</f>
        <v>#REF!</v>
      </c>
      <c r="HP5" t="e">
        <f>AND(#REF!,"AAAAAH+uwt8=")</f>
        <v>#REF!</v>
      </c>
      <c r="HQ5" t="e">
        <f>AND(#REF!,"AAAAAH+uwuA=")</f>
        <v>#REF!</v>
      </c>
      <c r="HR5" t="e">
        <f>AND(#REF!,"AAAAAH+uwuE=")</f>
        <v>#REF!</v>
      </c>
      <c r="HS5" t="e">
        <f>AND(#REF!,"AAAAAH+uwuI=")</f>
        <v>#REF!</v>
      </c>
      <c r="HT5" t="e">
        <f>AND(#REF!,"AAAAAH+uwuM=")</f>
        <v>#REF!</v>
      </c>
      <c r="HU5" t="e">
        <f>AND(#REF!,"AAAAAH+uwuQ=")</f>
        <v>#REF!</v>
      </c>
      <c r="HV5" t="e">
        <f>AND(#REF!,"AAAAAH+uwuU=")</f>
        <v>#REF!</v>
      </c>
      <c r="HW5" t="e">
        <f>AND(#REF!,"AAAAAH+uwuY=")</f>
        <v>#REF!</v>
      </c>
      <c r="HX5" t="e">
        <f>AND(#REF!,"AAAAAH+uwuc=")</f>
        <v>#REF!</v>
      </c>
      <c r="HY5" t="e">
        <f>AND(#REF!,"AAAAAH+uwug=")</f>
        <v>#REF!</v>
      </c>
      <c r="HZ5" t="e">
        <f>AND(#REF!,"AAAAAH+uwuk=")</f>
        <v>#REF!</v>
      </c>
      <c r="IA5" t="e">
        <f>AND(#REF!,"AAAAAH+uwuo=")</f>
        <v>#REF!</v>
      </c>
      <c r="IB5" t="e">
        <f>AND(#REF!,"AAAAAH+uwus=")</f>
        <v>#REF!</v>
      </c>
      <c r="IC5" t="e">
        <f>AND(#REF!,"AAAAAH+uwuw=")</f>
        <v>#REF!</v>
      </c>
      <c r="ID5" t="e">
        <f>AND(#REF!,"AAAAAH+uwu0=")</f>
        <v>#REF!</v>
      </c>
      <c r="IE5" t="e">
        <f>AND(#REF!,"AAAAAH+uwu4=")</f>
        <v>#REF!</v>
      </c>
      <c r="IF5" t="e">
        <f>AND(#REF!,"AAAAAH+uwu8=")</f>
        <v>#REF!</v>
      </c>
      <c r="IG5" t="e">
        <f>AND(#REF!,"AAAAAH+uwvA=")</f>
        <v>#REF!</v>
      </c>
      <c r="IH5" t="e">
        <f>AND(#REF!,"AAAAAH+uwvE=")</f>
        <v>#REF!</v>
      </c>
      <c r="II5" t="e">
        <f>AND(#REF!,"AAAAAH+uwvI=")</f>
        <v>#REF!</v>
      </c>
      <c r="IJ5" t="e">
        <f>AND(#REF!,"AAAAAH+uwvM=")</f>
        <v>#REF!</v>
      </c>
      <c r="IK5" t="e">
        <f>AND(#REF!,"AAAAAH+uwvQ=")</f>
        <v>#REF!</v>
      </c>
      <c r="IL5" t="e">
        <f>AND(#REF!,"AAAAAH+uwvU=")</f>
        <v>#REF!</v>
      </c>
      <c r="IM5" t="e">
        <f>AND(#REF!,"AAAAAH+uwvY=")</f>
        <v>#REF!</v>
      </c>
      <c r="IN5" t="e">
        <f>AND(#REF!,"AAAAAH+uwvc=")</f>
        <v>#REF!</v>
      </c>
      <c r="IO5" t="e">
        <f>AND(#REF!,"AAAAAH+uwvg=")</f>
        <v>#REF!</v>
      </c>
      <c r="IP5" t="e">
        <f>AND(#REF!,"AAAAAH+uwvk=")</f>
        <v>#REF!</v>
      </c>
      <c r="IQ5" t="e">
        <f>AND(#REF!,"AAAAAH+uwvo=")</f>
        <v>#REF!</v>
      </c>
      <c r="IR5" t="e">
        <f>AND(#REF!,"AAAAAH+uwvs=")</f>
        <v>#REF!</v>
      </c>
      <c r="IS5" t="e">
        <f>AND(#REF!,"AAAAAH+uwvw=")</f>
        <v>#REF!</v>
      </c>
      <c r="IT5" t="e">
        <f>AND(#REF!,"AAAAAH+uwv0=")</f>
        <v>#REF!</v>
      </c>
      <c r="IU5" t="e">
        <f>IF(#REF!,"AAAAAH+uwv4=",0)</f>
        <v>#REF!</v>
      </c>
      <c r="IV5" t="e">
        <f>AND(#REF!,"AAAAAH+uwv8=")</f>
        <v>#REF!</v>
      </c>
    </row>
    <row r="6" spans="1:256" x14ac:dyDescent="0.25">
      <c r="A6" t="e">
        <f>AND(#REF!,"AAAAAH/v2QA=")</f>
        <v>#REF!</v>
      </c>
      <c r="B6" t="e">
        <f>AND(#REF!,"AAAAAH/v2QE=")</f>
        <v>#REF!</v>
      </c>
      <c r="C6" t="e">
        <f>AND(#REF!,"AAAAAH/v2QI=")</f>
        <v>#REF!</v>
      </c>
      <c r="D6" t="e">
        <f>AND(#REF!,"AAAAAH/v2QM=")</f>
        <v>#REF!</v>
      </c>
      <c r="E6" t="e">
        <f>AND(#REF!,"AAAAAH/v2QQ=")</f>
        <v>#REF!</v>
      </c>
      <c r="F6" t="e">
        <f>AND(#REF!,"AAAAAH/v2QU=")</f>
        <v>#REF!</v>
      </c>
      <c r="G6" t="e">
        <f>AND(#REF!,"AAAAAH/v2QY=")</f>
        <v>#REF!</v>
      </c>
      <c r="H6" t="e">
        <f>AND(#REF!,"AAAAAH/v2Qc=")</f>
        <v>#REF!</v>
      </c>
      <c r="I6" t="e">
        <f>AND(#REF!,"AAAAAH/v2Qg=")</f>
        <v>#REF!</v>
      </c>
      <c r="J6" t="e">
        <f>AND(#REF!,"AAAAAH/v2Qk=")</f>
        <v>#REF!</v>
      </c>
      <c r="K6" t="e">
        <f>AND(#REF!,"AAAAAH/v2Qo=")</f>
        <v>#REF!</v>
      </c>
      <c r="L6" t="e">
        <f>AND(#REF!,"AAAAAH/v2Qs=")</f>
        <v>#REF!</v>
      </c>
      <c r="M6" t="e">
        <f>AND(#REF!,"AAAAAH/v2Qw=")</f>
        <v>#REF!</v>
      </c>
      <c r="N6" t="e">
        <f>AND(#REF!,"AAAAAH/v2Q0=")</f>
        <v>#REF!</v>
      </c>
      <c r="O6" t="e">
        <f>AND(#REF!,"AAAAAH/v2Q4=")</f>
        <v>#REF!</v>
      </c>
      <c r="P6" t="e">
        <f>AND(#REF!,"AAAAAH/v2Q8=")</f>
        <v>#REF!</v>
      </c>
      <c r="Q6" t="e">
        <f>AND(#REF!,"AAAAAH/v2RA=")</f>
        <v>#REF!</v>
      </c>
      <c r="R6" t="e">
        <f>AND(#REF!,"AAAAAH/v2RE=")</f>
        <v>#REF!</v>
      </c>
      <c r="S6" t="e">
        <f>AND(#REF!,"AAAAAH/v2RI=")</f>
        <v>#REF!</v>
      </c>
      <c r="T6" t="e">
        <f>AND(#REF!,"AAAAAH/v2RM=")</f>
        <v>#REF!</v>
      </c>
      <c r="U6" t="e">
        <f>AND(#REF!,"AAAAAH/v2RQ=")</f>
        <v>#REF!</v>
      </c>
      <c r="V6" t="e">
        <f>AND(#REF!,"AAAAAH/v2RU=")</f>
        <v>#REF!</v>
      </c>
      <c r="W6" t="e">
        <f>AND(#REF!,"AAAAAH/v2RY=")</f>
        <v>#REF!</v>
      </c>
      <c r="X6" t="e">
        <f>AND(#REF!,"AAAAAH/v2Rc=")</f>
        <v>#REF!</v>
      </c>
      <c r="Y6" t="e">
        <f>AND(#REF!,"AAAAAH/v2Rg=")</f>
        <v>#REF!</v>
      </c>
      <c r="Z6" t="e">
        <f>AND(#REF!,"AAAAAH/v2Rk=")</f>
        <v>#REF!</v>
      </c>
      <c r="AA6" t="e">
        <f>AND(#REF!,"AAAAAH/v2Ro=")</f>
        <v>#REF!</v>
      </c>
      <c r="AB6" t="e">
        <f>AND(#REF!,"AAAAAH/v2Rs=")</f>
        <v>#REF!</v>
      </c>
      <c r="AC6" t="e">
        <f>AND(#REF!,"AAAAAH/v2Rw=")</f>
        <v>#REF!</v>
      </c>
      <c r="AD6" t="e">
        <f>AND(#REF!,"AAAAAH/v2R0=")</f>
        <v>#REF!</v>
      </c>
      <c r="AE6" t="e">
        <f>AND(#REF!,"AAAAAH/v2R4=")</f>
        <v>#REF!</v>
      </c>
      <c r="AF6" t="e">
        <f>AND(#REF!,"AAAAAH/v2R8=")</f>
        <v>#REF!</v>
      </c>
      <c r="AG6" t="e">
        <f>AND(#REF!,"AAAAAH/v2SA=")</f>
        <v>#REF!</v>
      </c>
      <c r="AH6" t="e">
        <f>AND(#REF!,"AAAAAH/v2SE=")</f>
        <v>#REF!</v>
      </c>
      <c r="AI6" t="e">
        <f>AND(#REF!,"AAAAAH/v2SI=")</f>
        <v>#REF!</v>
      </c>
      <c r="AJ6" t="e">
        <f>AND(#REF!,"AAAAAH/v2SM=")</f>
        <v>#REF!</v>
      </c>
      <c r="AK6" t="e">
        <f>AND(#REF!,"AAAAAH/v2SQ=")</f>
        <v>#REF!</v>
      </c>
      <c r="AL6" t="e">
        <f>AND(#REF!,"AAAAAH/v2SU=")</f>
        <v>#REF!</v>
      </c>
      <c r="AM6" t="e">
        <f>AND(#REF!,"AAAAAH/v2SY=")</f>
        <v>#REF!</v>
      </c>
      <c r="AN6" t="e">
        <f>AND(#REF!,"AAAAAH/v2Sc=")</f>
        <v>#REF!</v>
      </c>
      <c r="AO6" t="e">
        <f>AND(#REF!,"AAAAAH/v2Sg=")</f>
        <v>#REF!</v>
      </c>
      <c r="AP6" t="e">
        <f>AND(#REF!,"AAAAAH/v2Sk=")</f>
        <v>#REF!</v>
      </c>
      <c r="AQ6" t="e">
        <f>AND(#REF!,"AAAAAH/v2So=")</f>
        <v>#REF!</v>
      </c>
      <c r="AR6" t="e">
        <f>AND(#REF!,"AAAAAH/v2Ss=")</f>
        <v>#REF!</v>
      </c>
      <c r="AS6" t="e">
        <f>AND(#REF!,"AAAAAH/v2Sw=")</f>
        <v>#REF!</v>
      </c>
      <c r="AT6" t="e">
        <f>AND(#REF!,"AAAAAH/v2S0=")</f>
        <v>#REF!</v>
      </c>
      <c r="AU6" t="e">
        <f>AND(#REF!,"AAAAAH/v2S4=")</f>
        <v>#REF!</v>
      </c>
      <c r="AV6" t="e">
        <f>AND(#REF!,"AAAAAH/v2S8=")</f>
        <v>#REF!</v>
      </c>
      <c r="AW6" t="e">
        <f>AND(#REF!,"AAAAAH/v2TA=")</f>
        <v>#REF!</v>
      </c>
      <c r="AX6" t="e">
        <f>AND(#REF!,"AAAAAH/v2TE=")</f>
        <v>#REF!</v>
      </c>
      <c r="AY6" t="e">
        <f>AND(#REF!,"AAAAAH/v2TI=")</f>
        <v>#REF!</v>
      </c>
      <c r="AZ6" t="e">
        <f>AND(#REF!,"AAAAAH/v2TM=")</f>
        <v>#REF!</v>
      </c>
      <c r="BA6" t="e">
        <f>AND(#REF!,"AAAAAH/v2TQ=")</f>
        <v>#REF!</v>
      </c>
      <c r="BB6" t="e">
        <f>AND(#REF!,"AAAAAH/v2TU=")</f>
        <v>#REF!</v>
      </c>
      <c r="BC6" t="e">
        <f>AND(#REF!,"AAAAAH/v2TY=")</f>
        <v>#REF!</v>
      </c>
      <c r="BD6" t="e">
        <f>AND(#REF!,"AAAAAH/v2Tc=")</f>
        <v>#REF!</v>
      </c>
      <c r="BE6" t="e">
        <f>AND(#REF!,"AAAAAH/v2Tg=")</f>
        <v>#REF!</v>
      </c>
      <c r="BF6" t="e">
        <f>AND(#REF!,"AAAAAH/v2Tk=")</f>
        <v>#REF!</v>
      </c>
      <c r="BG6" t="e">
        <f>AND(#REF!,"AAAAAH/v2To=")</f>
        <v>#REF!</v>
      </c>
      <c r="BH6" t="e">
        <f>AND(#REF!,"AAAAAH/v2Ts=")</f>
        <v>#REF!</v>
      </c>
      <c r="BI6" t="e">
        <f>AND(#REF!,"AAAAAH/v2Tw=")</f>
        <v>#REF!</v>
      </c>
      <c r="BJ6" t="e">
        <f>AND(#REF!,"AAAAAH/v2T0=")</f>
        <v>#REF!</v>
      </c>
      <c r="BK6" t="e">
        <f>AND(#REF!,"AAAAAH/v2T4=")</f>
        <v>#REF!</v>
      </c>
      <c r="BL6" t="e">
        <f>AND(#REF!,"AAAAAH/v2T8=")</f>
        <v>#REF!</v>
      </c>
      <c r="BM6" t="e">
        <f>AND(#REF!,"AAAAAH/v2UA=")</f>
        <v>#REF!</v>
      </c>
      <c r="BN6" t="e">
        <f>AND(#REF!,"AAAAAH/v2UE=")</f>
        <v>#REF!</v>
      </c>
      <c r="BO6" t="e">
        <f>AND(#REF!,"AAAAAH/v2UI=")</f>
        <v>#REF!</v>
      </c>
      <c r="BP6" t="e">
        <f>AND(#REF!,"AAAAAH/v2UM=")</f>
        <v>#REF!</v>
      </c>
      <c r="BQ6" t="e">
        <f>AND(#REF!,"AAAAAH/v2UQ=")</f>
        <v>#REF!</v>
      </c>
      <c r="BR6" t="e">
        <f>AND(#REF!,"AAAAAH/v2UU=")</f>
        <v>#REF!</v>
      </c>
      <c r="BS6" t="e">
        <f>AND(#REF!,"AAAAAH/v2UY=")</f>
        <v>#REF!</v>
      </c>
      <c r="BT6" t="e">
        <f>AND(#REF!,"AAAAAH/v2Uc=")</f>
        <v>#REF!</v>
      </c>
      <c r="BU6" t="e">
        <f>AND(#REF!,"AAAAAH/v2Ug=")</f>
        <v>#REF!</v>
      </c>
      <c r="BV6" t="e">
        <f>AND(#REF!,"AAAAAH/v2Uk=")</f>
        <v>#REF!</v>
      </c>
      <c r="BW6" t="e">
        <f>AND(#REF!,"AAAAAH/v2Uo=")</f>
        <v>#REF!</v>
      </c>
      <c r="BX6" t="e">
        <f>AND(#REF!,"AAAAAH/v2Us=")</f>
        <v>#REF!</v>
      </c>
      <c r="BY6" t="e">
        <f>AND(#REF!,"AAAAAH/v2Uw=")</f>
        <v>#REF!</v>
      </c>
      <c r="BZ6" t="e">
        <f>AND(#REF!,"AAAAAH/v2U0=")</f>
        <v>#REF!</v>
      </c>
      <c r="CA6" t="e">
        <f>AND(#REF!,"AAAAAH/v2U4=")</f>
        <v>#REF!</v>
      </c>
      <c r="CB6" t="e">
        <f>AND(#REF!,"AAAAAH/v2U8=")</f>
        <v>#REF!</v>
      </c>
      <c r="CC6" t="e">
        <f>AND(#REF!,"AAAAAH/v2VA=")</f>
        <v>#REF!</v>
      </c>
      <c r="CD6" t="e">
        <f>AND(#REF!,"AAAAAH/v2VE=")</f>
        <v>#REF!</v>
      </c>
      <c r="CE6" t="e">
        <f>AND(#REF!,"AAAAAH/v2VI=")</f>
        <v>#REF!</v>
      </c>
      <c r="CF6" t="e">
        <f>AND(#REF!,"AAAAAH/v2VM=")</f>
        <v>#REF!</v>
      </c>
      <c r="CG6" t="e">
        <f>AND(#REF!,"AAAAAH/v2VQ=")</f>
        <v>#REF!</v>
      </c>
      <c r="CH6" t="e">
        <f>AND(#REF!,"AAAAAH/v2VU=")</f>
        <v>#REF!</v>
      </c>
      <c r="CI6" t="e">
        <f>AND(#REF!,"AAAAAH/v2VY=")</f>
        <v>#REF!</v>
      </c>
      <c r="CJ6" t="e">
        <f>AND(#REF!,"AAAAAH/v2Vc=")</f>
        <v>#REF!</v>
      </c>
      <c r="CK6" t="e">
        <f>AND(#REF!,"AAAAAH/v2Vg=")</f>
        <v>#REF!</v>
      </c>
      <c r="CL6" t="e">
        <f>AND(#REF!,"AAAAAH/v2Vk=")</f>
        <v>#REF!</v>
      </c>
      <c r="CM6" t="e">
        <f>AND(#REF!,"AAAAAH/v2Vo=")</f>
        <v>#REF!</v>
      </c>
      <c r="CN6" t="e">
        <f>AND(#REF!,"AAAAAH/v2Vs=")</f>
        <v>#REF!</v>
      </c>
      <c r="CO6" t="e">
        <f>AND(#REF!,"AAAAAH/v2Vw=")</f>
        <v>#REF!</v>
      </c>
      <c r="CP6" t="e">
        <f>AND(#REF!,"AAAAAH/v2V0=")</f>
        <v>#REF!</v>
      </c>
      <c r="CQ6" t="e">
        <f>AND(#REF!,"AAAAAH/v2V4=")</f>
        <v>#REF!</v>
      </c>
      <c r="CR6" t="e">
        <f>AND(#REF!,"AAAAAH/v2V8=")</f>
        <v>#REF!</v>
      </c>
      <c r="CS6" t="e">
        <f>AND(#REF!,"AAAAAH/v2WA=")</f>
        <v>#REF!</v>
      </c>
      <c r="CT6" t="e">
        <f>AND(#REF!,"AAAAAH/v2WE=")</f>
        <v>#REF!</v>
      </c>
      <c r="CU6" t="e">
        <f>AND(#REF!,"AAAAAH/v2WI=")</f>
        <v>#REF!</v>
      </c>
      <c r="CV6" t="e">
        <f>AND(#REF!,"AAAAAH/v2WM=")</f>
        <v>#REF!</v>
      </c>
      <c r="CW6" t="e">
        <f>AND(#REF!,"AAAAAH/v2WQ=")</f>
        <v>#REF!</v>
      </c>
      <c r="CX6" t="e">
        <f>AND(#REF!,"AAAAAH/v2WU=")</f>
        <v>#REF!</v>
      </c>
      <c r="CY6" t="e">
        <f>AND(#REF!,"AAAAAH/v2WY=")</f>
        <v>#REF!</v>
      </c>
      <c r="CZ6" t="e">
        <f>AND(#REF!,"AAAAAH/v2Wc=")</f>
        <v>#REF!</v>
      </c>
      <c r="DA6" t="e">
        <f>AND(#REF!,"AAAAAH/v2Wg=")</f>
        <v>#REF!</v>
      </c>
      <c r="DB6" t="e">
        <f>AND(#REF!,"AAAAAH/v2Wk=")</f>
        <v>#REF!</v>
      </c>
      <c r="DC6" t="e">
        <f>AND(#REF!,"AAAAAH/v2Wo=")</f>
        <v>#REF!</v>
      </c>
      <c r="DD6" t="e">
        <f>AND(#REF!,"AAAAAH/v2Ws=")</f>
        <v>#REF!</v>
      </c>
      <c r="DE6" t="e">
        <f>AND(#REF!,"AAAAAH/v2Ww=")</f>
        <v>#REF!</v>
      </c>
      <c r="DF6" t="e">
        <f>AND(#REF!,"AAAAAH/v2W0=")</f>
        <v>#REF!</v>
      </c>
      <c r="DG6" t="e">
        <f>AND(#REF!,"AAAAAH/v2W4=")</f>
        <v>#REF!</v>
      </c>
      <c r="DH6" t="e">
        <f>AND(#REF!,"AAAAAH/v2W8=")</f>
        <v>#REF!</v>
      </c>
      <c r="DI6" t="e">
        <f>AND(#REF!,"AAAAAH/v2XA=")</f>
        <v>#REF!</v>
      </c>
      <c r="DJ6" t="e">
        <f>AND(#REF!,"AAAAAH/v2XE=")</f>
        <v>#REF!</v>
      </c>
      <c r="DK6" t="e">
        <f>AND(#REF!,"AAAAAH/v2XI=")</f>
        <v>#REF!</v>
      </c>
      <c r="DL6" t="e">
        <f>AND(#REF!,"AAAAAH/v2XM=")</f>
        <v>#REF!</v>
      </c>
      <c r="DM6" t="e">
        <f>AND(#REF!,"AAAAAH/v2XQ=")</f>
        <v>#REF!</v>
      </c>
      <c r="DN6" t="e">
        <f>AND(#REF!,"AAAAAH/v2XU=")</f>
        <v>#REF!</v>
      </c>
      <c r="DO6" t="e">
        <f>AND(#REF!,"AAAAAH/v2XY=")</f>
        <v>#REF!</v>
      </c>
      <c r="DP6" t="e">
        <f>AND(#REF!,"AAAAAH/v2Xc=")</f>
        <v>#REF!</v>
      </c>
      <c r="DQ6" t="e">
        <f>AND(#REF!,"AAAAAH/v2Xg=")</f>
        <v>#REF!</v>
      </c>
      <c r="DR6" t="e">
        <f>AND(#REF!,"AAAAAH/v2Xk=")</f>
        <v>#REF!</v>
      </c>
      <c r="DS6" t="e">
        <f>AND(#REF!,"AAAAAH/v2Xo=")</f>
        <v>#REF!</v>
      </c>
      <c r="DT6" t="e">
        <f>AND(#REF!,"AAAAAH/v2Xs=")</f>
        <v>#REF!</v>
      </c>
      <c r="DU6" t="e">
        <f>AND(#REF!,"AAAAAH/v2Xw=")</f>
        <v>#REF!</v>
      </c>
      <c r="DV6" t="e">
        <f>AND(#REF!,"AAAAAH/v2X0=")</f>
        <v>#REF!</v>
      </c>
      <c r="DW6" t="e">
        <f>AND(#REF!,"AAAAAH/v2X4=")</f>
        <v>#REF!</v>
      </c>
      <c r="DX6" t="e">
        <f>AND(#REF!,"AAAAAH/v2X8=")</f>
        <v>#REF!</v>
      </c>
      <c r="DY6" t="e">
        <f>AND(#REF!,"AAAAAH/v2YA=")</f>
        <v>#REF!</v>
      </c>
      <c r="DZ6" t="e">
        <f>AND(#REF!,"AAAAAH/v2YE=")</f>
        <v>#REF!</v>
      </c>
      <c r="EA6" t="e">
        <f>AND(#REF!,"AAAAAH/v2YI=")</f>
        <v>#REF!</v>
      </c>
      <c r="EB6" t="e">
        <f>AND(#REF!,"AAAAAH/v2YM=")</f>
        <v>#REF!</v>
      </c>
      <c r="EC6" t="e">
        <f>AND(#REF!,"AAAAAH/v2YQ=")</f>
        <v>#REF!</v>
      </c>
      <c r="ED6" t="e">
        <f>AND(#REF!,"AAAAAH/v2YU=")</f>
        <v>#REF!</v>
      </c>
      <c r="EE6" t="e">
        <f>AND(#REF!,"AAAAAH/v2YY=")</f>
        <v>#REF!</v>
      </c>
      <c r="EF6" t="e">
        <f>AND(#REF!,"AAAAAH/v2Yc=")</f>
        <v>#REF!</v>
      </c>
      <c r="EG6" t="e">
        <f>AND(#REF!,"AAAAAH/v2Yg=")</f>
        <v>#REF!</v>
      </c>
      <c r="EH6" t="e">
        <f>AND(#REF!,"AAAAAH/v2Yk=")</f>
        <v>#REF!</v>
      </c>
      <c r="EI6" t="e">
        <f>AND(#REF!,"AAAAAH/v2Yo=")</f>
        <v>#REF!</v>
      </c>
      <c r="EJ6" t="e">
        <f>AND(#REF!,"AAAAAH/v2Ys=")</f>
        <v>#REF!</v>
      </c>
      <c r="EK6" t="e">
        <f>AND(#REF!,"AAAAAH/v2Yw=")</f>
        <v>#REF!</v>
      </c>
      <c r="EL6" t="e">
        <f>AND(#REF!,"AAAAAH/v2Y0=")</f>
        <v>#REF!</v>
      </c>
      <c r="EM6" t="e">
        <f>AND(#REF!,"AAAAAH/v2Y4=")</f>
        <v>#REF!</v>
      </c>
      <c r="EN6" t="e">
        <f>AND(#REF!,"AAAAAH/v2Y8=")</f>
        <v>#REF!</v>
      </c>
      <c r="EO6" t="e">
        <f>AND(#REF!,"AAAAAH/v2ZA=")</f>
        <v>#REF!</v>
      </c>
      <c r="EP6" t="e">
        <f>AND(#REF!,"AAAAAH/v2ZE=")</f>
        <v>#REF!</v>
      </c>
      <c r="EQ6" t="e">
        <f>AND(#REF!,"AAAAAH/v2ZI=")</f>
        <v>#REF!</v>
      </c>
      <c r="ER6" t="e">
        <f>AND(#REF!,"AAAAAH/v2ZM=")</f>
        <v>#REF!</v>
      </c>
      <c r="ES6" t="e">
        <f>AND(#REF!,"AAAAAH/v2ZQ=")</f>
        <v>#REF!</v>
      </c>
      <c r="ET6" t="e">
        <f>AND(#REF!,"AAAAAH/v2ZU=")</f>
        <v>#REF!</v>
      </c>
      <c r="EU6" t="e">
        <f>AND(#REF!,"AAAAAH/v2ZY=")</f>
        <v>#REF!</v>
      </c>
      <c r="EV6" t="e">
        <f>AND(#REF!,"AAAAAH/v2Zc=")</f>
        <v>#REF!</v>
      </c>
      <c r="EW6" t="e">
        <f>AND(#REF!,"AAAAAH/v2Zg=")</f>
        <v>#REF!</v>
      </c>
      <c r="EX6" t="e">
        <f>AND(#REF!,"AAAAAH/v2Zk=")</f>
        <v>#REF!</v>
      </c>
      <c r="EY6" t="e">
        <f>AND(#REF!,"AAAAAH/v2Zo=")</f>
        <v>#REF!</v>
      </c>
      <c r="EZ6" t="e">
        <f>AND(#REF!,"AAAAAH/v2Zs=")</f>
        <v>#REF!</v>
      </c>
      <c r="FA6" t="e">
        <f>AND(#REF!,"AAAAAH/v2Zw=")</f>
        <v>#REF!</v>
      </c>
      <c r="FB6" t="e">
        <f>AND(#REF!,"AAAAAH/v2Z0=")</f>
        <v>#REF!</v>
      </c>
      <c r="FC6" t="e">
        <f>AND(#REF!,"AAAAAH/v2Z4=")</f>
        <v>#REF!</v>
      </c>
      <c r="FD6" t="e">
        <f>AND(#REF!,"AAAAAH/v2Z8=")</f>
        <v>#REF!</v>
      </c>
      <c r="FE6" t="e">
        <f>AND(#REF!,"AAAAAH/v2aA=")</f>
        <v>#REF!</v>
      </c>
      <c r="FF6" t="e">
        <f>AND(#REF!,"AAAAAH/v2aE=")</f>
        <v>#REF!</v>
      </c>
      <c r="FG6" t="e">
        <f>AND(#REF!,"AAAAAH/v2aI=")</f>
        <v>#REF!</v>
      </c>
      <c r="FH6" t="e">
        <f>AND(#REF!,"AAAAAH/v2aM=")</f>
        <v>#REF!</v>
      </c>
      <c r="FI6" t="e">
        <f>AND(#REF!,"AAAAAH/v2aQ=")</f>
        <v>#REF!</v>
      </c>
      <c r="FJ6" t="e">
        <f>AND(#REF!,"AAAAAH/v2aU=")</f>
        <v>#REF!</v>
      </c>
      <c r="FK6" t="e">
        <f>AND(#REF!,"AAAAAH/v2aY=")</f>
        <v>#REF!</v>
      </c>
      <c r="FL6" t="e">
        <f>AND(#REF!,"AAAAAH/v2ac=")</f>
        <v>#REF!</v>
      </c>
      <c r="FM6" t="e">
        <f>AND(#REF!,"AAAAAH/v2ag=")</f>
        <v>#REF!</v>
      </c>
      <c r="FN6" t="e">
        <f>AND(#REF!,"AAAAAH/v2ak=")</f>
        <v>#REF!</v>
      </c>
      <c r="FO6" t="e">
        <f>AND(#REF!,"AAAAAH/v2ao=")</f>
        <v>#REF!</v>
      </c>
      <c r="FP6" t="e">
        <f>AND(#REF!,"AAAAAH/v2as=")</f>
        <v>#REF!</v>
      </c>
      <c r="FQ6" t="e">
        <f>AND(#REF!,"AAAAAH/v2aw=")</f>
        <v>#REF!</v>
      </c>
      <c r="FR6" t="e">
        <f>AND(#REF!,"AAAAAH/v2a0=")</f>
        <v>#REF!</v>
      </c>
      <c r="FS6" t="e">
        <f>AND(#REF!,"AAAAAH/v2a4=")</f>
        <v>#REF!</v>
      </c>
      <c r="FT6" t="e">
        <f>AND(#REF!,"AAAAAH/v2a8=")</f>
        <v>#REF!</v>
      </c>
      <c r="FU6" t="e">
        <f>AND(#REF!,"AAAAAH/v2bA=")</f>
        <v>#REF!</v>
      </c>
      <c r="FV6" t="e">
        <f>AND(#REF!,"AAAAAH/v2bE=")</f>
        <v>#REF!</v>
      </c>
      <c r="FW6" t="e">
        <f>AND(#REF!,"AAAAAH/v2bI=")</f>
        <v>#REF!</v>
      </c>
      <c r="FX6" t="e">
        <f>AND(#REF!,"AAAAAH/v2bM=")</f>
        <v>#REF!</v>
      </c>
      <c r="FY6" t="e">
        <f>AND(#REF!,"AAAAAH/v2bQ=")</f>
        <v>#REF!</v>
      </c>
      <c r="FZ6" t="e">
        <f>AND(#REF!,"AAAAAH/v2bU=")</f>
        <v>#REF!</v>
      </c>
      <c r="GA6" t="e">
        <f>AND(#REF!,"AAAAAH/v2bY=")</f>
        <v>#REF!</v>
      </c>
      <c r="GB6" t="e">
        <f>AND(#REF!,"AAAAAH/v2bc=")</f>
        <v>#REF!</v>
      </c>
      <c r="GC6" t="e">
        <f>AND(#REF!,"AAAAAH/v2bg=")</f>
        <v>#REF!</v>
      </c>
      <c r="GD6" t="e">
        <f>AND(#REF!,"AAAAAH/v2bk=")</f>
        <v>#REF!</v>
      </c>
      <c r="GE6" t="e">
        <f>AND(#REF!,"AAAAAH/v2bo=")</f>
        <v>#REF!</v>
      </c>
      <c r="GF6" t="e">
        <f>AND(#REF!,"AAAAAH/v2bs=")</f>
        <v>#REF!</v>
      </c>
      <c r="GG6" t="e">
        <f>AND(#REF!,"AAAAAH/v2bw=")</f>
        <v>#REF!</v>
      </c>
      <c r="GH6" t="e">
        <f>AND(#REF!,"AAAAAH/v2b0=")</f>
        <v>#REF!</v>
      </c>
      <c r="GI6" t="e">
        <f>AND(#REF!,"AAAAAH/v2b4=")</f>
        <v>#REF!</v>
      </c>
      <c r="GJ6" t="e">
        <f>AND(#REF!,"AAAAAH/v2b8=")</f>
        <v>#REF!</v>
      </c>
      <c r="GK6" t="e">
        <f>AND(#REF!,"AAAAAH/v2cA=")</f>
        <v>#REF!</v>
      </c>
      <c r="GL6" t="e">
        <f>AND(#REF!,"AAAAAH/v2cE=")</f>
        <v>#REF!</v>
      </c>
      <c r="GM6" t="e">
        <f>AND(#REF!,"AAAAAH/v2cI=")</f>
        <v>#REF!</v>
      </c>
      <c r="GN6" t="e">
        <f>AND(#REF!,"AAAAAH/v2cM=")</f>
        <v>#REF!</v>
      </c>
      <c r="GO6" t="e">
        <f>AND(#REF!,"AAAAAH/v2cQ=")</f>
        <v>#REF!</v>
      </c>
      <c r="GP6" t="e">
        <f>AND(#REF!,"AAAAAH/v2cU=")</f>
        <v>#REF!</v>
      </c>
      <c r="GQ6" t="e">
        <f>AND(#REF!,"AAAAAH/v2cY=")</f>
        <v>#REF!</v>
      </c>
      <c r="GR6" t="e">
        <f>AND(#REF!,"AAAAAH/v2cc=")</f>
        <v>#REF!</v>
      </c>
      <c r="GS6" t="e">
        <f>AND(#REF!,"AAAAAH/v2cg=")</f>
        <v>#REF!</v>
      </c>
      <c r="GT6" t="e">
        <f>AND(#REF!,"AAAAAH/v2ck=")</f>
        <v>#REF!</v>
      </c>
      <c r="GU6" t="e">
        <f>AND(#REF!,"AAAAAH/v2co=")</f>
        <v>#REF!</v>
      </c>
      <c r="GV6" t="e">
        <f>AND(#REF!,"AAAAAH/v2cs=")</f>
        <v>#REF!</v>
      </c>
      <c r="GW6" t="e">
        <f>AND(#REF!,"AAAAAH/v2cw=")</f>
        <v>#REF!</v>
      </c>
      <c r="GX6" t="e">
        <f>AND(#REF!,"AAAAAH/v2c0=")</f>
        <v>#REF!</v>
      </c>
      <c r="GY6" t="e">
        <f>AND(#REF!,"AAAAAH/v2c4=")</f>
        <v>#REF!</v>
      </c>
      <c r="GZ6" t="e">
        <f>AND(#REF!,"AAAAAH/v2c8=")</f>
        <v>#REF!</v>
      </c>
      <c r="HA6" t="e">
        <f>AND(#REF!,"AAAAAH/v2dA=")</f>
        <v>#REF!</v>
      </c>
      <c r="HB6" t="e">
        <f>AND(#REF!,"AAAAAH/v2dE=")</f>
        <v>#REF!</v>
      </c>
      <c r="HC6" t="e">
        <f>AND(#REF!,"AAAAAH/v2dI=")</f>
        <v>#REF!</v>
      </c>
      <c r="HD6" t="e">
        <f>AND(#REF!,"AAAAAH/v2dM=")</f>
        <v>#REF!</v>
      </c>
      <c r="HE6" t="e">
        <f>AND(#REF!,"AAAAAH/v2dQ=")</f>
        <v>#REF!</v>
      </c>
      <c r="HF6" t="e">
        <f>AND(#REF!,"AAAAAH/v2dU=")</f>
        <v>#REF!</v>
      </c>
      <c r="HG6" t="e">
        <f>AND(#REF!,"AAAAAH/v2dY=")</f>
        <v>#REF!</v>
      </c>
      <c r="HH6" t="e">
        <f>AND(#REF!,"AAAAAH/v2dc=")</f>
        <v>#REF!</v>
      </c>
      <c r="HI6" t="e">
        <f>AND(#REF!,"AAAAAH/v2dg=")</f>
        <v>#REF!</v>
      </c>
      <c r="HJ6" t="e">
        <f>AND(#REF!,"AAAAAH/v2dk=")</f>
        <v>#REF!</v>
      </c>
      <c r="HK6" t="e">
        <f>AND(#REF!,"AAAAAH/v2do=")</f>
        <v>#REF!</v>
      </c>
      <c r="HL6" t="e">
        <f>AND(#REF!,"AAAAAH/v2ds=")</f>
        <v>#REF!</v>
      </c>
      <c r="HM6" t="e">
        <f>AND(#REF!,"AAAAAH/v2dw=")</f>
        <v>#REF!</v>
      </c>
      <c r="HN6" t="e">
        <f>AND(#REF!,"AAAAAH/v2d0=")</f>
        <v>#REF!</v>
      </c>
      <c r="HO6" t="e">
        <f>AND(#REF!,"AAAAAH/v2d4=")</f>
        <v>#REF!</v>
      </c>
      <c r="HP6" t="e">
        <f>AND(#REF!,"AAAAAH/v2d8=")</f>
        <v>#REF!</v>
      </c>
      <c r="HQ6" t="e">
        <f>AND(#REF!,"AAAAAH/v2eA=")</f>
        <v>#REF!</v>
      </c>
      <c r="HR6" t="e">
        <f>AND(#REF!,"AAAAAH/v2eE=")</f>
        <v>#REF!</v>
      </c>
      <c r="HS6" t="e">
        <f>AND(#REF!,"AAAAAH/v2eI=")</f>
        <v>#REF!</v>
      </c>
      <c r="HT6" t="e">
        <f>AND(#REF!,"AAAAAH/v2eM=")</f>
        <v>#REF!</v>
      </c>
      <c r="HU6" t="e">
        <f>AND(#REF!,"AAAAAH/v2eQ=")</f>
        <v>#REF!</v>
      </c>
      <c r="HV6" t="e">
        <f>AND(#REF!,"AAAAAH/v2eU=")</f>
        <v>#REF!</v>
      </c>
      <c r="HW6" t="e">
        <f>AND(#REF!,"AAAAAH/v2eY=")</f>
        <v>#REF!</v>
      </c>
      <c r="HX6" t="e">
        <f>AND(#REF!,"AAAAAH/v2ec=")</f>
        <v>#REF!</v>
      </c>
      <c r="HY6" t="e">
        <f>AND(#REF!,"AAAAAH/v2eg=")</f>
        <v>#REF!</v>
      </c>
      <c r="HZ6" t="e">
        <f>AND(#REF!,"AAAAAH/v2ek=")</f>
        <v>#REF!</v>
      </c>
      <c r="IA6" t="e">
        <f>AND(#REF!,"AAAAAH/v2eo=")</f>
        <v>#REF!</v>
      </c>
      <c r="IB6" t="e">
        <f>AND(#REF!,"AAAAAH/v2es=")</f>
        <v>#REF!</v>
      </c>
      <c r="IC6" t="e">
        <f>AND(#REF!,"AAAAAH/v2ew=")</f>
        <v>#REF!</v>
      </c>
      <c r="ID6" t="e">
        <f>AND(#REF!,"AAAAAH/v2e0=")</f>
        <v>#REF!</v>
      </c>
      <c r="IE6" t="e">
        <f>AND(#REF!,"AAAAAH/v2e4=")</f>
        <v>#REF!</v>
      </c>
      <c r="IF6" t="e">
        <f>AND(#REF!,"AAAAAH/v2e8=")</f>
        <v>#REF!</v>
      </c>
      <c r="IG6" t="e">
        <f>AND(#REF!,"AAAAAH/v2fA=")</f>
        <v>#REF!</v>
      </c>
      <c r="IH6" t="e">
        <f>AND(#REF!,"AAAAAH/v2fE=")</f>
        <v>#REF!</v>
      </c>
      <c r="II6" t="e">
        <f>AND(#REF!,"AAAAAH/v2fI=")</f>
        <v>#REF!</v>
      </c>
      <c r="IJ6" t="e">
        <f>AND(#REF!,"AAAAAH/v2fM=")</f>
        <v>#REF!</v>
      </c>
      <c r="IK6" t="e">
        <f>AND(#REF!,"AAAAAH/v2fQ=")</f>
        <v>#REF!</v>
      </c>
      <c r="IL6" t="e">
        <f>AND(#REF!,"AAAAAH/v2fU=")</f>
        <v>#REF!</v>
      </c>
      <c r="IM6" t="e">
        <f>AND(#REF!,"AAAAAH/v2fY=")</f>
        <v>#REF!</v>
      </c>
      <c r="IN6" t="e">
        <f>AND(#REF!,"AAAAAH/v2fc=")</f>
        <v>#REF!</v>
      </c>
      <c r="IO6" t="e">
        <f>AND(#REF!,"AAAAAH/v2fg=")</f>
        <v>#REF!</v>
      </c>
      <c r="IP6" t="e">
        <f>AND(#REF!,"AAAAAH/v2fk=")</f>
        <v>#REF!</v>
      </c>
      <c r="IQ6" t="e">
        <f>AND(#REF!,"AAAAAH/v2fo=")</f>
        <v>#REF!</v>
      </c>
      <c r="IR6" t="e">
        <f>AND(#REF!,"AAAAAH/v2fs=")</f>
        <v>#REF!</v>
      </c>
      <c r="IS6" t="e">
        <f>AND(#REF!,"AAAAAH/v2fw=")</f>
        <v>#REF!</v>
      </c>
      <c r="IT6" t="e">
        <f>AND(#REF!,"AAAAAH/v2f0=")</f>
        <v>#REF!</v>
      </c>
      <c r="IU6" t="e">
        <f>AND(#REF!,"AAAAAH/v2f4=")</f>
        <v>#REF!</v>
      </c>
      <c r="IV6" t="e">
        <f>IF(#REF!,"AAAAAH/v2f8=",0)</f>
        <v>#REF!</v>
      </c>
    </row>
    <row r="7" spans="1:256" x14ac:dyDescent="0.25">
      <c r="A7" t="e">
        <f>AND(#REF!,"AAAAAF3HnwA=")</f>
        <v>#REF!</v>
      </c>
      <c r="B7" t="e">
        <f>AND(#REF!,"AAAAAF3HnwE=")</f>
        <v>#REF!</v>
      </c>
      <c r="C7" t="e">
        <f>AND(#REF!,"AAAAAF3HnwI=")</f>
        <v>#REF!</v>
      </c>
      <c r="D7" t="e">
        <f>AND(#REF!,"AAAAAF3HnwM=")</f>
        <v>#REF!</v>
      </c>
      <c r="E7" t="e">
        <f>AND(#REF!,"AAAAAF3HnwQ=")</f>
        <v>#REF!</v>
      </c>
      <c r="F7" t="e">
        <f>AND(#REF!,"AAAAAF3HnwU=")</f>
        <v>#REF!</v>
      </c>
      <c r="G7" t="e">
        <f>AND(#REF!,"AAAAAF3HnwY=")</f>
        <v>#REF!</v>
      </c>
      <c r="H7" t="e">
        <f>AND(#REF!,"AAAAAF3Hnwc=")</f>
        <v>#REF!</v>
      </c>
      <c r="I7" t="e">
        <f>AND(#REF!,"AAAAAF3Hnwg=")</f>
        <v>#REF!</v>
      </c>
      <c r="J7" t="e">
        <f>AND(#REF!,"AAAAAF3Hnwk=")</f>
        <v>#REF!</v>
      </c>
      <c r="K7" t="e">
        <f>AND(#REF!,"AAAAAF3Hnwo=")</f>
        <v>#REF!</v>
      </c>
      <c r="L7" t="e">
        <f>AND(#REF!,"AAAAAF3Hnws=")</f>
        <v>#REF!</v>
      </c>
      <c r="M7" t="e">
        <f>AND(#REF!,"AAAAAF3Hnww=")</f>
        <v>#REF!</v>
      </c>
      <c r="N7" t="e">
        <f>AND(#REF!,"AAAAAF3Hnw0=")</f>
        <v>#REF!</v>
      </c>
      <c r="O7" t="e">
        <f>AND(#REF!,"AAAAAF3Hnw4=")</f>
        <v>#REF!</v>
      </c>
      <c r="P7" t="e">
        <f>AND(#REF!,"AAAAAF3Hnw8=")</f>
        <v>#REF!</v>
      </c>
      <c r="Q7" t="e">
        <f>AND(#REF!,"AAAAAF3HnxA=")</f>
        <v>#REF!</v>
      </c>
      <c r="R7" t="e">
        <f>AND(#REF!,"AAAAAF3HnxE=")</f>
        <v>#REF!</v>
      </c>
      <c r="S7" t="e">
        <f>AND(#REF!,"AAAAAF3HnxI=")</f>
        <v>#REF!</v>
      </c>
      <c r="T7" t="e">
        <f>AND(#REF!,"AAAAAF3HnxM=")</f>
        <v>#REF!</v>
      </c>
      <c r="U7" t="e">
        <f>AND(#REF!,"AAAAAF3HnxQ=")</f>
        <v>#REF!</v>
      </c>
      <c r="V7" t="e">
        <f>AND(#REF!,"AAAAAF3HnxU=")</f>
        <v>#REF!</v>
      </c>
      <c r="W7" t="e">
        <f>AND(#REF!,"AAAAAF3HnxY=")</f>
        <v>#REF!</v>
      </c>
      <c r="X7" t="e">
        <f>AND(#REF!,"AAAAAF3Hnxc=")</f>
        <v>#REF!</v>
      </c>
      <c r="Y7" t="e">
        <f>AND(#REF!,"AAAAAF3Hnxg=")</f>
        <v>#REF!</v>
      </c>
      <c r="Z7" t="e">
        <f>AND(#REF!,"AAAAAF3Hnxk=")</f>
        <v>#REF!</v>
      </c>
      <c r="AA7" t="e">
        <f>AND(#REF!,"AAAAAF3Hnxo=")</f>
        <v>#REF!</v>
      </c>
      <c r="AB7" t="e">
        <f>AND(#REF!,"AAAAAF3Hnxs=")</f>
        <v>#REF!</v>
      </c>
      <c r="AC7" t="e">
        <f>AND(#REF!,"AAAAAF3Hnxw=")</f>
        <v>#REF!</v>
      </c>
      <c r="AD7" t="e">
        <f>AND(#REF!,"AAAAAF3Hnx0=")</f>
        <v>#REF!</v>
      </c>
      <c r="AE7" t="e">
        <f>AND(#REF!,"AAAAAF3Hnx4=")</f>
        <v>#REF!</v>
      </c>
      <c r="AF7" t="e">
        <f>AND(#REF!,"AAAAAF3Hnx8=")</f>
        <v>#REF!</v>
      </c>
      <c r="AG7" t="e">
        <f>AND(#REF!,"AAAAAF3HnyA=")</f>
        <v>#REF!</v>
      </c>
      <c r="AH7" t="e">
        <f>AND(#REF!,"AAAAAF3HnyE=")</f>
        <v>#REF!</v>
      </c>
      <c r="AI7" t="e">
        <f>AND(#REF!,"AAAAAF3HnyI=")</f>
        <v>#REF!</v>
      </c>
      <c r="AJ7" t="e">
        <f>AND(#REF!,"AAAAAF3HnyM=")</f>
        <v>#REF!</v>
      </c>
      <c r="AK7" t="e">
        <f>AND(#REF!,"AAAAAF3HnyQ=")</f>
        <v>#REF!</v>
      </c>
      <c r="AL7" t="e">
        <f>AND(#REF!,"AAAAAF3HnyU=")</f>
        <v>#REF!</v>
      </c>
      <c r="AM7" t="e">
        <f>AND(#REF!,"AAAAAF3HnyY=")</f>
        <v>#REF!</v>
      </c>
      <c r="AN7" t="e">
        <f>AND(#REF!,"AAAAAF3Hnyc=")</f>
        <v>#REF!</v>
      </c>
      <c r="AO7" t="e">
        <f>AND(#REF!,"AAAAAF3Hnyg=")</f>
        <v>#REF!</v>
      </c>
      <c r="AP7" t="e">
        <f>AND(#REF!,"AAAAAF3Hnyk=")</f>
        <v>#REF!</v>
      </c>
      <c r="AQ7" t="e">
        <f>AND(#REF!,"AAAAAF3Hnyo=")</f>
        <v>#REF!</v>
      </c>
      <c r="AR7" t="e">
        <f>AND(#REF!,"AAAAAF3Hnys=")</f>
        <v>#REF!</v>
      </c>
      <c r="AS7" t="e">
        <f>AND(#REF!,"AAAAAF3Hnyw=")</f>
        <v>#REF!</v>
      </c>
      <c r="AT7" t="e">
        <f>AND(#REF!,"AAAAAF3Hny0=")</f>
        <v>#REF!</v>
      </c>
      <c r="AU7" t="e">
        <f>AND(#REF!,"AAAAAF3Hny4=")</f>
        <v>#REF!</v>
      </c>
      <c r="AV7" t="e">
        <f>AND(#REF!,"AAAAAF3Hny8=")</f>
        <v>#REF!</v>
      </c>
      <c r="AW7" t="e">
        <f>AND(#REF!,"AAAAAF3HnzA=")</f>
        <v>#REF!</v>
      </c>
      <c r="AX7" t="e">
        <f>AND(#REF!,"AAAAAF3HnzE=")</f>
        <v>#REF!</v>
      </c>
      <c r="AY7" t="e">
        <f>AND(#REF!,"AAAAAF3HnzI=")</f>
        <v>#REF!</v>
      </c>
      <c r="AZ7" t="e">
        <f>AND(#REF!,"AAAAAF3HnzM=")</f>
        <v>#REF!</v>
      </c>
      <c r="BA7" t="e">
        <f>AND(#REF!,"AAAAAF3HnzQ=")</f>
        <v>#REF!</v>
      </c>
      <c r="BB7" t="e">
        <f>AND(#REF!,"AAAAAF3HnzU=")</f>
        <v>#REF!</v>
      </c>
      <c r="BC7" t="e">
        <f>AND(#REF!,"AAAAAF3HnzY=")</f>
        <v>#REF!</v>
      </c>
      <c r="BD7" t="e">
        <f>AND(#REF!,"AAAAAF3Hnzc=")</f>
        <v>#REF!</v>
      </c>
      <c r="BE7" t="e">
        <f>AND(#REF!,"AAAAAF3Hnzg=")</f>
        <v>#REF!</v>
      </c>
      <c r="BF7" t="e">
        <f>AND(#REF!,"AAAAAF3Hnzk=")</f>
        <v>#REF!</v>
      </c>
      <c r="BG7" t="e">
        <f>AND(#REF!,"AAAAAF3Hnzo=")</f>
        <v>#REF!</v>
      </c>
      <c r="BH7" t="e">
        <f>AND(#REF!,"AAAAAF3Hnzs=")</f>
        <v>#REF!</v>
      </c>
      <c r="BI7" t="e">
        <f>AND(#REF!,"AAAAAF3Hnzw=")</f>
        <v>#REF!</v>
      </c>
      <c r="BJ7" t="e">
        <f>AND(#REF!,"AAAAAF3Hnz0=")</f>
        <v>#REF!</v>
      </c>
      <c r="BK7" t="e">
        <f>AND(#REF!,"AAAAAF3Hnz4=")</f>
        <v>#REF!</v>
      </c>
      <c r="BL7" t="e">
        <f>AND(#REF!,"AAAAAF3Hnz8=")</f>
        <v>#REF!</v>
      </c>
      <c r="BM7" t="e">
        <f>AND(#REF!,"AAAAAF3Hn0A=")</f>
        <v>#REF!</v>
      </c>
      <c r="BN7" t="e">
        <f>AND(#REF!,"AAAAAF3Hn0E=")</f>
        <v>#REF!</v>
      </c>
      <c r="BO7" t="e">
        <f>AND(#REF!,"AAAAAF3Hn0I=")</f>
        <v>#REF!</v>
      </c>
      <c r="BP7" t="e">
        <f>AND(#REF!,"AAAAAF3Hn0M=")</f>
        <v>#REF!</v>
      </c>
      <c r="BQ7" t="e">
        <f>AND(#REF!,"AAAAAF3Hn0Q=")</f>
        <v>#REF!</v>
      </c>
      <c r="BR7" t="e">
        <f>AND(#REF!,"AAAAAF3Hn0U=")</f>
        <v>#REF!</v>
      </c>
      <c r="BS7" t="e">
        <f>AND(#REF!,"AAAAAF3Hn0Y=")</f>
        <v>#REF!</v>
      </c>
      <c r="BT7" t="e">
        <f>AND(#REF!,"AAAAAF3Hn0c=")</f>
        <v>#REF!</v>
      </c>
      <c r="BU7" t="e">
        <f>AND(#REF!,"AAAAAF3Hn0g=")</f>
        <v>#REF!</v>
      </c>
      <c r="BV7" t="e">
        <f>AND(#REF!,"AAAAAF3Hn0k=")</f>
        <v>#REF!</v>
      </c>
      <c r="BW7" t="e">
        <f>AND(#REF!,"AAAAAF3Hn0o=")</f>
        <v>#REF!</v>
      </c>
      <c r="BX7" t="e">
        <f>AND(#REF!,"AAAAAF3Hn0s=")</f>
        <v>#REF!</v>
      </c>
      <c r="BY7" t="e">
        <f>AND(#REF!,"AAAAAF3Hn0w=")</f>
        <v>#REF!</v>
      </c>
      <c r="BZ7" t="e">
        <f>AND(#REF!,"AAAAAF3Hn00=")</f>
        <v>#REF!</v>
      </c>
      <c r="CA7" t="e">
        <f>AND(#REF!,"AAAAAF3Hn04=")</f>
        <v>#REF!</v>
      </c>
      <c r="CB7" t="e">
        <f>AND(#REF!,"AAAAAF3Hn08=")</f>
        <v>#REF!</v>
      </c>
      <c r="CC7" t="e">
        <f>AND(#REF!,"AAAAAF3Hn1A=")</f>
        <v>#REF!</v>
      </c>
      <c r="CD7" t="e">
        <f>AND(#REF!,"AAAAAF3Hn1E=")</f>
        <v>#REF!</v>
      </c>
      <c r="CE7" t="e">
        <f>AND(#REF!,"AAAAAF3Hn1I=")</f>
        <v>#REF!</v>
      </c>
      <c r="CF7" t="e">
        <f>AND(#REF!,"AAAAAF3Hn1M=")</f>
        <v>#REF!</v>
      </c>
      <c r="CG7" t="e">
        <f>AND(#REF!,"AAAAAF3Hn1Q=")</f>
        <v>#REF!</v>
      </c>
      <c r="CH7" t="e">
        <f>AND(#REF!,"AAAAAF3Hn1U=")</f>
        <v>#REF!</v>
      </c>
      <c r="CI7" t="e">
        <f>AND(#REF!,"AAAAAF3Hn1Y=")</f>
        <v>#REF!</v>
      </c>
      <c r="CJ7" t="e">
        <f>AND(#REF!,"AAAAAF3Hn1c=")</f>
        <v>#REF!</v>
      </c>
      <c r="CK7" t="e">
        <f>AND(#REF!,"AAAAAF3Hn1g=")</f>
        <v>#REF!</v>
      </c>
      <c r="CL7" t="e">
        <f>AND(#REF!,"AAAAAF3Hn1k=")</f>
        <v>#REF!</v>
      </c>
      <c r="CM7" t="e">
        <f>AND(#REF!,"AAAAAF3Hn1o=")</f>
        <v>#REF!</v>
      </c>
      <c r="CN7" t="e">
        <f>AND(#REF!,"AAAAAF3Hn1s=")</f>
        <v>#REF!</v>
      </c>
      <c r="CO7" t="e">
        <f>AND(#REF!,"AAAAAF3Hn1w=")</f>
        <v>#REF!</v>
      </c>
      <c r="CP7" t="e">
        <f>AND(#REF!,"AAAAAF3Hn10=")</f>
        <v>#REF!</v>
      </c>
      <c r="CQ7" t="e">
        <f>AND(#REF!,"AAAAAF3Hn14=")</f>
        <v>#REF!</v>
      </c>
      <c r="CR7" t="e">
        <f>AND(#REF!,"AAAAAF3Hn18=")</f>
        <v>#REF!</v>
      </c>
      <c r="CS7" t="e">
        <f>AND(#REF!,"AAAAAF3Hn2A=")</f>
        <v>#REF!</v>
      </c>
      <c r="CT7" t="e">
        <f>AND(#REF!,"AAAAAF3Hn2E=")</f>
        <v>#REF!</v>
      </c>
      <c r="CU7" t="e">
        <f>AND(#REF!,"AAAAAF3Hn2I=")</f>
        <v>#REF!</v>
      </c>
      <c r="CV7" t="e">
        <f>AND(#REF!,"AAAAAF3Hn2M=")</f>
        <v>#REF!</v>
      </c>
      <c r="CW7" t="e">
        <f>AND(#REF!,"AAAAAF3Hn2Q=")</f>
        <v>#REF!</v>
      </c>
      <c r="CX7" t="e">
        <f>AND(#REF!,"AAAAAF3Hn2U=")</f>
        <v>#REF!</v>
      </c>
      <c r="CY7" t="e">
        <f>AND(#REF!,"AAAAAF3Hn2Y=")</f>
        <v>#REF!</v>
      </c>
      <c r="CZ7" t="e">
        <f>AND(#REF!,"AAAAAF3Hn2c=")</f>
        <v>#REF!</v>
      </c>
      <c r="DA7" t="e">
        <f>AND(#REF!,"AAAAAF3Hn2g=")</f>
        <v>#REF!</v>
      </c>
      <c r="DB7" t="e">
        <f>AND(#REF!,"AAAAAF3Hn2k=")</f>
        <v>#REF!</v>
      </c>
      <c r="DC7" t="e">
        <f>AND(#REF!,"AAAAAF3Hn2o=")</f>
        <v>#REF!</v>
      </c>
      <c r="DD7" t="e">
        <f>AND(#REF!,"AAAAAF3Hn2s=")</f>
        <v>#REF!</v>
      </c>
      <c r="DE7" t="e">
        <f>AND(#REF!,"AAAAAF3Hn2w=")</f>
        <v>#REF!</v>
      </c>
      <c r="DF7" t="e">
        <f>AND(#REF!,"AAAAAF3Hn20=")</f>
        <v>#REF!</v>
      </c>
      <c r="DG7" t="e">
        <f>AND(#REF!,"AAAAAF3Hn24=")</f>
        <v>#REF!</v>
      </c>
      <c r="DH7" t="e">
        <f>AND(#REF!,"AAAAAF3Hn28=")</f>
        <v>#REF!</v>
      </c>
      <c r="DI7" t="e">
        <f>AND(#REF!,"AAAAAF3Hn3A=")</f>
        <v>#REF!</v>
      </c>
      <c r="DJ7" t="e">
        <f>AND(#REF!,"AAAAAF3Hn3E=")</f>
        <v>#REF!</v>
      </c>
      <c r="DK7" t="e">
        <f>AND(#REF!,"AAAAAF3Hn3I=")</f>
        <v>#REF!</v>
      </c>
      <c r="DL7" t="e">
        <f>AND(#REF!,"AAAAAF3Hn3M=")</f>
        <v>#REF!</v>
      </c>
      <c r="DM7" t="e">
        <f>AND(#REF!,"AAAAAF3Hn3Q=")</f>
        <v>#REF!</v>
      </c>
      <c r="DN7" t="e">
        <f>AND(#REF!,"AAAAAF3Hn3U=")</f>
        <v>#REF!</v>
      </c>
      <c r="DO7" t="e">
        <f>AND(#REF!,"AAAAAF3Hn3Y=")</f>
        <v>#REF!</v>
      </c>
      <c r="DP7" t="e">
        <f>AND(#REF!,"AAAAAF3Hn3c=")</f>
        <v>#REF!</v>
      </c>
      <c r="DQ7" t="e">
        <f>AND(#REF!,"AAAAAF3Hn3g=")</f>
        <v>#REF!</v>
      </c>
      <c r="DR7" t="e">
        <f>AND(#REF!,"AAAAAF3Hn3k=")</f>
        <v>#REF!</v>
      </c>
      <c r="DS7" t="e">
        <f>AND(#REF!,"AAAAAF3Hn3o=")</f>
        <v>#REF!</v>
      </c>
      <c r="DT7" t="e">
        <f>AND(#REF!,"AAAAAF3Hn3s=")</f>
        <v>#REF!</v>
      </c>
      <c r="DU7" t="e">
        <f>AND(#REF!,"AAAAAF3Hn3w=")</f>
        <v>#REF!</v>
      </c>
      <c r="DV7" t="e">
        <f>AND(#REF!,"AAAAAF3Hn30=")</f>
        <v>#REF!</v>
      </c>
      <c r="DW7" t="e">
        <f>AND(#REF!,"AAAAAF3Hn34=")</f>
        <v>#REF!</v>
      </c>
      <c r="DX7" t="e">
        <f>AND(#REF!,"AAAAAF3Hn38=")</f>
        <v>#REF!</v>
      </c>
      <c r="DY7" t="e">
        <f>AND(#REF!,"AAAAAF3Hn4A=")</f>
        <v>#REF!</v>
      </c>
      <c r="DZ7" t="e">
        <f>AND(#REF!,"AAAAAF3Hn4E=")</f>
        <v>#REF!</v>
      </c>
      <c r="EA7" t="e">
        <f>AND(#REF!,"AAAAAF3Hn4I=")</f>
        <v>#REF!</v>
      </c>
      <c r="EB7" t="e">
        <f>AND(#REF!,"AAAAAF3Hn4M=")</f>
        <v>#REF!</v>
      </c>
      <c r="EC7" t="e">
        <f>AND(#REF!,"AAAAAF3Hn4Q=")</f>
        <v>#REF!</v>
      </c>
      <c r="ED7" t="e">
        <f>AND(#REF!,"AAAAAF3Hn4U=")</f>
        <v>#REF!</v>
      </c>
      <c r="EE7" t="e">
        <f>AND(#REF!,"AAAAAF3Hn4Y=")</f>
        <v>#REF!</v>
      </c>
      <c r="EF7" t="e">
        <f>AND(#REF!,"AAAAAF3Hn4c=")</f>
        <v>#REF!</v>
      </c>
      <c r="EG7" t="e">
        <f>AND(#REF!,"AAAAAF3Hn4g=")</f>
        <v>#REF!</v>
      </c>
      <c r="EH7" t="e">
        <f>AND(#REF!,"AAAAAF3Hn4k=")</f>
        <v>#REF!</v>
      </c>
      <c r="EI7" t="e">
        <f>AND(#REF!,"AAAAAF3Hn4o=")</f>
        <v>#REF!</v>
      </c>
      <c r="EJ7" t="e">
        <f>AND(#REF!,"AAAAAF3Hn4s=")</f>
        <v>#REF!</v>
      </c>
      <c r="EK7" t="e">
        <f>AND(#REF!,"AAAAAF3Hn4w=")</f>
        <v>#REF!</v>
      </c>
      <c r="EL7" t="e">
        <f>AND(#REF!,"AAAAAF3Hn40=")</f>
        <v>#REF!</v>
      </c>
      <c r="EM7" t="e">
        <f>AND(#REF!,"AAAAAF3Hn44=")</f>
        <v>#REF!</v>
      </c>
      <c r="EN7" t="e">
        <f>AND(#REF!,"AAAAAF3Hn48=")</f>
        <v>#REF!</v>
      </c>
      <c r="EO7" t="e">
        <f>AND(#REF!,"AAAAAF3Hn5A=")</f>
        <v>#REF!</v>
      </c>
      <c r="EP7" t="e">
        <f>AND(#REF!,"AAAAAF3Hn5E=")</f>
        <v>#REF!</v>
      </c>
      <c r="EQ7" t="e">
        <f>AND(#REF!,"AAAAAF3Hn5I=")</f>
        <v>#REF!</v>
      </c>
      <c r="ER7" t="e">
        <f>AND(#REF!,"AAAAAF3Hn5M=")</f>
        <v>#REF!</v>
      </c>
      <c r="ES7" t="e">
        <f>AND(#REF!,"AAAAAF3Hn5Q=")</f>
        <v>#REF!</v>
      </c>
      <c r="ET7" t="e">
        <f>AND(#REF!,"AAAAAF3Hn5U=")</f>
        <v>#REF!</v>
      </c>
      <c r="EU7" t="e">
        <f>AND(#REF!,"AAAAAF3Hn5Y=")</f>
        <v>#REF!</v>
      </c>
      <c r="EV7" t="e">
        <f>AND(#REF!,"AAAAAF3Hn5c=")</f>
        <v>#REF!</v>
      </c>
      <c r="EW7" t="e">
        <f>AND(#REF!,"AAAAAF3Hn5g=")</f>
        <v>#REF!</v>
      </c>
      <c r="EX7" t="e">
        <f>AND(#REF!,"AAAAAF3Hn5k=")</f>
        <v>#REF!</v>
      </c>
      <c r="EY7" t="e">
        <f>AND(#REF!,"AAAAAF3Hn5o=")</f>
        <v>#REF!</v>
      </c>
      <c r="EZ7" t="e">
        <f>AND(#REF!,"AAAAAF3Hn5s=")</f>
        <v>#REF!</v>
      </c>
      <c r="FA7" t="e">
        <f>AND(#REF!,"AAAAAF3Hn5w=")</f>
        <v>#REF!</v>
      </c>
      <c r="FB7" t="e">
        <f>AND(#REF!,"AAAAAF3Hn50=")</f>
        <v>#REF!</v>
      </c>
      <c r="FC7" t="e">
        <f>AND(#REF!,"AAAAAF3Hn54=")</f>
        <v>#REF!</v>
      </c>
      <c r="FD7" t="e">
        <f>AND(#REF!,"AAAAAF3Hn58=")</f>
        <v>#REF!</v>
      </c>
      <c r="FE7" t="e">
        <f>AND(#REF!,"AAAAAF3Hn6A=")</f>
        <v>#REF!</v>
      </c>
      <c r="FF7" t="e">
        <f>AND(#REF!,"AAAAAF3Hn6E=")</f>
        <v>#REF!</v>
      </c>
      <c r="FG7" t="e">
        <f>AND(#REF!,"AAAAAF3Hn6I=")</f>
        <v>#REF!</v>
      </c>
      <c r="FH7" t="e">
        <f>AND(#REF!,"AAAAAF3Hn6M=")</f>
        <v>#REF!</v>
      </c>
      <c r="FI7" t="e">
        <f>AND(#REF!,"AAAAAF3Hn6Q=")</f>
        <v>#REF!</v>
      </c>
      <c r="FJ7" t="e">
        <f>AND(#REF!,"AAAAAF3Hn6U=")</f>
        <v>#REF!</v>
      </c>
      <c r="FK7" t="e">
        <f>AND(#REF!,"AAAAAF3Hn6Y=")</f>
        <v>#REF!</v>
      </c>
      <c r="FL7" t="e">
        <f>AND(#REF!,"AAAAAF3Hn6c=")</f>
        <v>#REF!</v>
      </c>
      <c r="FM7" t="e">
        <f>AND(#REF!,"AAAAAF3Hn6g=")</f>
        <v>#REF!</v>
      </c>
      <c r="FN7" t="e">
        <f>AND(#REF!,"AAAAAF3Hn6k=")</f>
        <v>#REF!</v>
      </c>
      <c r="FO7" t="e">
        <f>AND(#REF!,"AAAAAF3Hn6o=")</f>
        <v>#REF!</v>
      </c>
      <c r="FP7" t="e">
        <f>AND(#REF!,"AAAAAF3Hn6s=")</f>
        <v>#REF!</v>
      </c>
      <c r="FQ7" t="e">
        <f>AND(#REF!,"AAAAAF3Hn6w=")</f>
        <v>#REF!</v>
      </c>
      <c r="FR7" t="e">
        <f>AND(#REF!,"AAAAAF3Hn60=")</f>
        <v>#REF!</v>
      </c>
      <c r="FS7" t="e">
        <f>AND(#REF!,"AAAAAF3Hn64=")</f>
        <v>#REF!</v>
      </c>
      <c r="FT7" t="e">
        <f>AND(#REF!,"AAAAAF3Hn68=")</f>
        <v>#REF!</v>
      </c>
      <c r="FU7" t="e">
        <f>AND(#REF!,"AAAAAF3Hn7A=")</f>
        <v>#REF!</v>
      </c>
      <c r="FV7" t="e">
        <f>AND(#REF!,"AAAAAF3Hn7E=")</f>
        <v>#REF!</v>
      </c>
      <c r="FW7" t="e">
        <f>AND(#REF!,"AAAAAF3Hn7I=")</f>
        <v>#REF!</v>
      </c>
      <c r="FX7" t="e">
        <f>AND(#REF!,"AAAAAF3Hn7M=")</f>
        <v>#REF!</v>
      </c>
      <c r="FY7" t="e">
        <f>AND(#REF!,"AAAAAF3Hn7Q=")</f>
        <v>#REF!</v>
      </c>
      <c r="FZ7" t="e">
        <f>AND(#REF!,"AAAAAF3Hn7U=")</f>
        <v>#REF!</v>
      </c>
      <c r="GA7" t="e">
        <f>AND(#REF!,"AAAAAF3Hn7Y=")</f>
        <v>#REF!</v>
      </c>
      <c r="GB7" t="e">
        <f>AND(#REF!,"AAAAAF3Hn7c=")</f>
        <v>#REF!</v>
      </c>
      <c r="GC7" t="e">
        <f>AND(#REF!,"AAAAAF3Hn7g=")</f>
        <v>#REF!</v>
      </c>
      <c r="GD7" t="e">
        <f>AND(#REF!,"AAAAAF3Hn7k=")</f>
        <v>#REF!</v>
      </c>
      <c r="GE7" t="e">
        <f>AND(#REF!,"AAAAAF3Hn7o=")</f>
        <v>#REF!</v>
      </c>
      <c r="GF7" t="e">
        <f>AND(#REF!,"AAAAAF3Hn7s=")</f>
        <v>#REF!</v>
      </c>
      <c r="GG7" t="e">
        <f>AND(#REF!,"AAAAAF3Hn7w=")</f>
        <v>#REF!</v>
      </c>
      <c r="GH7" t="e">
        <f>AND(#REF!,"AAAAAF3Hn70=")</f>
        <v>#REF!</v>
      </c>
      <c r="GI7" t="e">
        <f>AND(#REF!,"AAAAAF3Hn74=")</f>
        <v>#REF!</v>
      </c>
      <c r="GJ7" t="e">
        <f>AND(#REF!,"AAAAAF3Hn78=")</f>
        <v>#REF!</v>
      </c>
      <c r="GK7" t="e">
        <f>AND(#REF!,"AAAAAF3Hn8A=")</f>
        <v>#REF!</v>
      </c>
      <c r="GL7" t="e">
        <f>AND(#REF!,"AAAAAF3Hn8E=")</f>
        <v>#REF!</v>
      </c>
      <c r="GM7" t="e">
        <f>AND(#REF!,"AAAAAF3Hn8I=")</f>
        <v>#REF!</v>
      </c>
      <c r="GN7" t="e">
        <f>AND(#REF!,"AAAAAF3Hn8M=")</f>
        <v>#REF!</v>
      </c>
      <c r="GO7" t="e">
        <f>AND(#REF!,"AAAAAF3Hn8Q=")</f>
        <v>#REF!</v>
      </c>
      <c r="GP7" t="e">
        <f>AND(#REF!,"AAAAAF3Hn8U=")</f>
        <v>#REF!</v>
      </c>
      <c r="GQ7" t="e">
        <f>AND(#REF!,"AAAAAF3Hn8Y=")</f>
        <v>#REF!</v>
      </c>
      <c r="GR7" t="e">
        <f>AND(#REF!,"AAAAAF3Hn8c=")</f>
        <v>#REF!</v>
      </c>
      <c r="GS7" t="e">
        <f>AND(#REF!,"AAAAAF3Hn8g=")</f>
        <v>#REF!</v>
      </c>
      <c r="GT7" t="e">
        <f>AND(#REF!,"AAAAAF3Hn8k=")</f>
        <v>#REF!</v>
      </c>
      <c r="GU7" t="e">
        <f>AND(#REF!,"AAAAAF3Hn8o=")</f>
        <v>#REF!</v>
      </c>
      <c r="GV7" t="e">
        <f>AND(#REF!,"AAAAAF3Hn8s=")</f>
        <v>#REF!</v>
      </c>
      <c r="GW7" t="e">
        <f>AND(#REF!,"AAAAAF3Hn8w=")</f>
        <v>#REF!</v>
      </c>
      <c r="GX7" t="e">
        <f>AND(#REF!,"AAAAAF3Hn80=")</f>
        <v>#REF!</v>
      </c>
      <c r="GY7" t="e">
        <f>AND(#REF!,"AAAAAF3Hn84=")</f>
        <v>#REF!</v>
      </c>
      <c r="GZ7" t="e">
        <f>AND(#REF!,"AAAAAF3Hn88=")</f>
        <v>#REF!</v>
      </c>
      <c r="HA7" t="e">
        <f>AND(#REF!,"AAAAAF3Hn9A=")</f>
        <v>#REF!</v>
      </c>
      <c r="HB7" t="e">
        <f>AND(#REF!,"AAAAAF3Hn9E=")</f>
        <v>#REF!</v>
      </c>
      <c r="HC7" t="e">
        <f>AND(#REF!,"AAAAAF3Hn9I=")</f>
        <v>#REF!</v>
      </c>
      <c r="HD7" t="e">
        <f>AND(#REF!,"AAAAAF3Hn9M=")</f>
        <v>#REF!</v>
      </c>
      <c r="HE7" t="e">
        <f>AND(#REF!,"AAAAAF3Hn9Q=")</f>
        <v>#REF!</v>
      </c>
      <c r="HF7" t="e">
        <f>AND(#REF!,"AAAAAF3Hn9U=")</f>
        <v>#REF!</v>
      </c>
      <c r="HG7" t="e">
        <f>AND(#REF!,"AAAAAF3Hn9Y=")</f>
        <v>#REF!</v>
      </c>
      <c r="HH7" t="e">
        <f>AND(#REF!,"AAAAAF3Hn9c=")</f>
        <v>#REF!</v>
      </c>
      <c r="HI7" t="e">
        <f>AND(#REF!,"AAAAAF3Hn9g=")</f>
        <v>#REF!</v>
      </c>
      <c r="HJ7" t="e">
        <f>AND(#REF!,"AAAAAF3Hn9k=")</f>
        <v>#REF!</v>
      </c>
      <c r="HK7" t="e">
        <f>AND(#REF!,"AAAAAF3Hn9o=")</f>
        <v>#REF!</v>
      </c>
      <c r="HL7" t="e">
        <f>AND(#REF!,"AAAAAF3Hn9s=")</f>
        <v>#REF!</v>
      </c>
      <c r="HM7" t="e">
        <f>AND(#REF!,"AAAAAF3Hn9w=")</f>
        <v>#REF!</v>
      </c>
      <c r="HN7" t="e">
        <f>AND(#REF!,"AAAAAF3Hn90=")</f>
        <v>#REF!</v>
      </c>
      <c r="HO7" t="e">
        <f>AND(#REF!,"AAAAAF3Hn94=")</f>
        <v>#REF!</v>
      </c>
      <c r="HP7" t="e">
        <f>AND(#REF!,"AAAAAF3Hn98=")</f>
        <v>#REF!</v>
      </c>
      <c r="HQ7" t="e">
        <f>AND(#REF!,"AAAAAF3Hn+A=")</f>
        <v>#REF!</v>
      </c>
      <c r="HR7" t="e">
        <f>AND(#REF!,"AAAAAF3Hn+E=")</f>
        <v>#REF!</v>
      </c>
      <c r="HS7" t="e">
        <f>AND(#REF!,"AAAAAF3Hn+I=")</f>
        <v>#REF!</v>
      </c>
      <c r="HT7" t="e">
        <f>AND(#REF!,"AAAAAF3Hn+M=")</f>
        <v>#REF!</v>
      </c>
      <c r="HU7" t="e">
        <f>AND(#REF!,"AAAAAF3Hn+Q=")</f>
        <v>#REF!</v>
      </c>
      <c r="HV7" t="e">
        <f>AND(#REF!,"AAAAAF3Hn+U=")</f>
        <v>#REF!</v>
      </c>
      <c r="HW7" t="e">
        <f>AND(#REF!,"AAAAAF3Hn+Y=")</f>
        <v>#REF!</v>
      </c>
      <c r="HX7" t="e">
        <f>AND(#REF!,"AAAAAF3Hn+c=")</f>
        <v>#REF!</v>
      </c>
      <c r="HY7" t="e">
        <f>AND(#REF!,"AAAAAF3Hn+g=")</f>
        <v>#REF!</v>
      </c>
      <c r="HZ7" t="e">
        <f>AND(#REF!,"AAAAAF3Hn+k=")</f>
        <v>#REF!</v>
      </c>
      <c r="IA7" t="e">
        <f>AND(#REF!,"AAAAAF3Hn+o=")</f>
        <v>#REF!</v>
      </c>
      <c r="IB7" t="e">
        <f>AND(#REF!,"AAAAAF3Hn+s=")</f>
        <v>#REF!</v>
      </c>
      <c r="IC7" t="e">
        <f>AND(#REF!,"AAAAAF3Hn+w=")</f>
        <v>#REF!</v>
      </c>
      <c r="ID7" t="e">
        <f>AND(#REF!,"AAAAAF3Hn+0=")</f>
        <v>#REF!</v>
      </c>
      <c r="IE7" t="e">
        <f>AND(#REF!,"AAAAAF3Hn+4=")</f>
        <v>#REF!</v>
      </c>
      <c r="IF7" t="e">
        <f>AND(#REF!,"AAAAAF3Hn+8=")</f>
        <v>#REF!</v>
      </c>
      <c r="IG7" t="e">
        <f>AND(#REF!,"AAAAAF3Hn/A=")</f>
        <v>#REF!</v>
      </c>
      <c r="IH7" t="e">
        <f>AND(#REF!,"AAAAAF3Hn/E=")</f>
        <v>#REF!</v>
      </c>
      <c r="II7" t="e">
        <f>AND(#REF!,"AAAAAF3Hn/I=")</f>
        <v>#REF!</v>
      </c>
      <c r="IJ7" t="e">
        <f>AND(#REF!,"AAAAAF3Hn/M=")</f>
        <v>#REF!</v>
      </c>
      <c r="IK7" t="e">
        <f>AND(#REF!,"AAAAAF3Hn/Q=")</f>
        <v>#REF!</v>
      </c>
      <c r="IL7" t="e">
        <f>AND(#REF!,"AAAAAF3Hn/U=")</f>
        <v>#REF!</v>
      </c>
      <c r="IM7" t="e">
        <f>AND(#REF!,"AAAAAF3Hn/Y=")</f>
        <v>#REF!</v>
      </c>
      <c r="IN7" t="e">
        <f>AND(#REF!,"AAAAAF3Hn/c=")</f>
        <v>#REF!</v>
      </c>
      <c r="IO7" t="e">
        <f>AND(#REF!,"AAAAAF3Hn/g=")</f>
        <v>#REF!</v>
      </c>
      <c r="IP7" t="e">
        <f>AND(#REF!,"AAAAAF3Hn/k=")</f>
        <v>#REF!</v>
      </c>
      <c r="IQ7" t="e">
        <f>AND(#REF!,"AAAAAF3Hn/o=")</f>
        <v>#REF!</v>
      </c>
      <c r="IR7" t="e">
        <f>AND(#REF!,"AAAAAF3Hn/s=")</f>
        <v>#REF!</v>
      </c>
      <c r="IS7" t="e">
        <f>AND(#REF!,"AAAAAF3Hn/w=")</f>
        <v>#REF!</v>
      </c>
      <c r="IT7" t="e">
        <f>AND(#REF!,"AAAAAF3Hn/0=")</f>
        <v>#REF!</v>
      </c>
      <c r="IU7" t="e">
        <f>AND(#REF!,"AAAAAF3Hn/4=")</f>
        <v>#REF!</v>
      </c>
      <c r="IV7" t="e">
        <f>AND(#REF!,"AAAAAF3Hn/8=")</f>
        <v>#REF!</v>
      </c>
    </row>
    <row r="8" spans="1:256" x14ac:dyDescent="0.25">
      <c r="A8" t="e">
        <f>IF(#REF!,"AAAAAHnl9wA=",0)</f>
        <v>#REF!</v>
      </c>
      <c r="B8" t="e">
        <f>AND(#REF!,"AAAAAHnl9wE=")</f>
        <v>#REF!</v>
      </c>
      <c r="C8" t="e">
        <f>AND(#REF!,"AAAAAHnl9wI=")</f>
        <v>#REF!</v>
      </c>
      <c r="D8" t="e">
        <f>AND(#REF!,"AAAAAHnl9wM=")</f>
        <v>#REF!</v>
      </c>
      <c r="E8" t="e">
        <f>AND(#REF!,"AAAAAHnl9wQ=")</f>
        <v>#REF!</v>
      </c>
      <c r="F8" t="e">
        <f>AND(#REF!,"AAAAAHnl9wU=")</f>
        <v>#REF!</v>
      </c>
      <c r="G8" t="e">
        <f>AND(#REF!,"AAAAAHnl9wY=")</f>
        <v>#REF!</v>
      </c>
      <c r="H8" t="e">
        <f>AND(#REF!,"AAAAAHnl9wc=")</f>
        <v>#REF!</v>
      </c>
      <c r="I8" t="e">
        <f>AND(#REF!,"AAAAAHnl9wg=")</f>
        <v>#REF!</v>
      </c>
      <c r="J8" t="e">
        <f>AND(#REF!,"AAAAAHnl9wk=")</f>
        <v>#REF!</v>
      </c>
      <c r="K8" t="e">
        <f>AND(#REF!,"AAAAAHnl9wo=")</f>
        <v>#REF!</v>
      </c>
      <c r="L8" t="e">
        <f>AND(#REF!,"AAAAAHnl9ws=")</f>
        <v>#REF!</v>
      </c>
      <c r="M8" t="e">
        <f>AND(#REF!,"AAAAAHnl9ww=")</f>
        <v>#REF!</v>
      </c>
      <c r="N8" t="e">
        <f>AND(#REF!,"AAAAAHnl9w0=")</f>
        <v>#REF!</v>
      </c>
      <c r="O8" t="e">
        <f>AND(#REF!,"AAAAAHnl9w4=")</f>
        <v>#REF!</v>
      </c>
      <c r="P8" t="e">
        <f>AND(#REF!,"AAAAAHnl9w8=")</f>
        <v>#REF!</v>
      </c>
      <c r="Q8" t="e">
        <f>AND(#REF!,"AAAAAHnl9xA=")</f>
        <v>#REF!</v>
      </c>
      <c r="R8" t="e">
        <f>AND(#REF!,"AAAAAHnl9xE=")</f>
        <v>#REF!</v>
      </c>
      <c r="S8" t="e">
        <f>AND(#REF!,"AAAAAHnl9xI=")</f>
        <v>#REF!</v>
      </c>
      <c r="T8" t="e">
        <f>AND(#REF!,"AAAAAHnl9xM=")</f>
        <v>#REF!</v>
      </c>
      <c r="U8" t="e">
        <f>AND(#REF!,"AAAAAHnl9xQ=")</f>
        <v>#REF!</v>
      </c>
      <c r="V8" t="e">
        <f>AND(#REF!,"AAAAAHnl9xU=")</f>
        <v>#REF!</v>
      </c>
      <c r="W8" t="e">
        <f>AND(#REF!,"AAAAAHnl9xY=")</f>
        <v>#REF!</v>
      </c>
      <c r="X8" t="e">
        <f>AND(#REF!,"AAAAAHnl9xc=")</f>
        <v>#REF!</v>
      </c>
      <c r="Y8" t="e">
        <f>AND(#REF!,"AAAAAHnl9xg=")</f>
        <v>#REF!</v>
      </c>
      <c r="Z8" t="e">
        <f>AND(#REF!,"AAAAAHnl9xk=")</f>
        <v>#REF!</v>
      </c>
      <c r="AA8" t="e">
        <f>AND(#REF!,"AAAAAHnl9xo=")</f>
        <v>#REF!</v>
      </c>
      <c r="AB8" t="e">
        <f>AND(#REF!,"AAAAAHnl9xs=")</f>
        <v>#REF!</v>
      </c>
      <c r="AC8" t="e">
        <f>AND(#REF!,"AAAAAHnl9xw=")</f>
        <v>#REF!</v>
      </c>
      <c r="AD8" t="e">
        <f>AND(#REF!,"AAAAAHnl9x0=")</f>
        <v>#REF!</v>
      </c>
      <c r="AE8" t="e">
        <f>AND(#REF!,"AAAAAHnl9x4=")</f>
        <v>#REF!</v>
      </c>
      <c r="AF8" t="e">
        <f>AND(#REF!,"AAAAAHnl9x8=")</f>
        <v>#REF!</v>
      </c>
      <c r="AG8" t="e">
        <f>AND(#REF!,"AAAAAHnl9yA=")</f>
        <v>#REF!</v>
      </c>
      <c r="AH8" t="e">
        <f>AND(#REF!,"AAAAAHnl9yE=")</f>
        <v>#REF!</v>
      </c>
      <c r="AI8" t="e">
        <f>AND(#REF!,"AAAAAHnl9yI=")</f>
        <v>#REF!</v>
      </c>
      <c r="AJ8" t="e">
        <f>AND(#REF!,"AAAAAHnl9yM=")</f>
        <v>#REF!</v>
      </c>
      <c r="AK8" t="e">
        <f>AND(#REF!,"AAAAAHnl9yQ=")</f>
        <v>#REF!</v>
      </c>
      <c r="AL8" t="e">
        <f>AND(#REF!,"AAAAAHnl9yU=")</f>
        <v>#REF!</v>
      </c>
      <c r="AM8" t="e">
        <f>AND(#REF!,"AAAAAHnl9yY=")</f>
        <v>#REF!</v>
      </c>
      <c r="AN8" t="e">
        <f>AND(#REF!,"AAAAAHnl9yc=")</f>
        <v>#REF!</v>
      </c>
      <c r="AO8" t="e">
        <f>AND(#REF!,"AAAAAHnl9yg=")</f>
        <v>#REF!</v>
      </c>
      <c r="AP8" t="e">
        <f>AND(#REF!,"AAAAAHnl9yk=")</f>
        <v>#REF!</v>
      </c>
      <c r="AQ8" t="e">
        <f>AND(#REF!,"AAAAAHnl9yo=")</f>
        <v>#REF!</v>
      </c>
      <c r="AR8" t="e">
        <f>AND(#REF!,"AAAAAHnl9ys=")</f>
        <v>#REF!</v>
      </c>
      <c r="AS8" t="e">
        <f>AND(#REF!,"AAAAAHnl9yw=")</f>
        <v>#REF!</v>
      </c>
      <c r="AT8" t="e">
        <f>AND(#REF!,"AAAAAHnl9y0=")</f>
        <v>#REF!</v>
      </c>
      <c r="AU8" t="e">
        <f>AND(#REF!,"AAAAAHnl9y4=")</f>
        <v>#REF!</v>
      </c>
      <c r="AV8" t="e">
        <f>AND(#REF!,"AAAAAHnl9y8=")</f>
        <v>#REF!</v>
      </c>
      <c r="AW8" t="e">
        <f>AND(#REF!,"AAAAAHnl9zA=")</f>
        <v>#REF!</v>
      </c>
      <c r="AX8" t="e">
        <f>AND(#REF!,"AAAAAHnl9zE=")</f>
        <v>#REF!</v>
      </c>
      <c r="AY8" t="e">
        <f>AND(#REF!,"AAAAAHnl9zI=")</f>
        <v>#REF!</v>
      </c>
      <c r="AZ8" t="e">
        <f>AND(#REF!,"AAAAAHnl9zM=")</f>
        <v>#REF!</v>
      </c>
      <c r="BA8" t="e">
        <f>AND(#REF!,"AAAAAHnl9zQ=")</f>
        <v>#REF!</v>
      </c>
      <c r="BB8" t="e">
        <f>AND(#REF!,"AAAAAHnl9zU=")</f>
        <v>#REF!</v>
      </c>
      <c r="BC8" t="e">
        <f>AND(#REF!,"AAAAAHnl9zY=")</f>
        <v>#REF!</v>
      </c>
      <c r="BD8" t="e">
        <f>AND(#REF!,"AAAAAHnl9zc=")</f>
        <v>#REF!</v>
      </c>
      <c r="BE8" t="e">
        <f>AND(#REF!,"AAAAAHnl9zg=")</f>
        <v>#REF!</v>
      </c>
      <c r="BF8" t="e">
        <f>AND(#REF!,"AAAAAHnl9zk=")</f>
        <v>#REF!</v>
      </c>
      <c r="BG8" t="e">
        <f>AND(#REF!,"AAAAAHnl9zo=")</f>
        <v>#REF!</v>
      </c>
      <c r="BH8" t="e">
        <f>AND(#REF!,"AAAAAHnl9zs=")</f>
        <v>#REF!</v>
      </c>
      <c r="BI8" t="e">
        <f>AND(#REF!,"AAAAAHnl9zw=")</f>
        <v>#REF!</v>
      </c>
      <c r="BJ8" t="e">
        <f>AND(#REF!,"AAAAAHnl9z0=")</f>
        <v>#REF!</v>
      </c>
      <c r="BK8" t="e">
        <f>AND(#REF!,"AAAAAHnl9z4=")</f>
        <v>#REF!</v>
      </c>
      <c r="BL8" t="e">
        <f>AND(#REF!,"AAAAAHnl9z8=")</f>
        <v>#REF!</v>
      </c>
      <c r="BM8" t="e">
        <f>AND(#REF!,"AAAAAHnl90A=")</f>
        <v>#REF!</v>
      </c>
      <c r="BN8" t="e">
        <f>AND(#REF!,"AAAAAHnl90E=")</f>
        <v>#REF!</v>
      </c>
      <c r="BO8" t="e">
        <f>AND(#REF!,"AAAAAHnl90I=")</f>
        <v>#REF!</v>
      </c>
      <c r="BP8" t="e">
        <f>AND(#REF!,"AAAAAHnl90M=")</f>
        <v>#REF!</v>
      </c>
      <c r="BQ8" t="e">
        <f>AND(#REF!,"AAAAAHnl90Q=")</f>
        <v>#REF!</v>
      </c>
      <c r="BR8" t="e">
        <f>AND(#REF!,"AAAAAHnl90U=")</f>
        <v>#REF!</v>
      </c>
      <c r="BS8" t="e">
        <f>AND(#REF!,"AAAAAHnl90Y=")</f>
        <v>#REF!</v>
      </c>
      <c r="BT8" t="e">
        <f>AND(#REF!,"AAAAAHnl90c=")</f>
        <v>#REF!</v>
      </c>
      <c r="BU8" t="e">
        <f>AND(#REF!,"AAAAAHnl90g=")</f>
        <v>#REF!</v>
      </c>
      <c r="BV8" t="e">
        <f>AND(#REF!,"AAAAAHnl90k=")</f>
        <v>#REF!</v>
      </c>
      <c r="BW8" t="e">
        <f>AND(#REF!,"AAAAAHnl90o=")</f>
        <v>#REF!</v>
      </c>
      <c r="BX8" t="e">
        <f>AND(#REF!,"AAAAAHnl90s=")</f>
        <v>#REF!</v>
      </c>
      <c r="BY8" t="e">
        <f>AND(#REF!,"AAAAAHnl90w=")</f>
        <v>#REF!</v>
      </c>
      <c r="BZ8" t="e">
        <f>AND(#REF!,"AAAAAHnl900=")</f>
        <v>#REF!</v>
      </c>
      <c r="CA8" t="e">
        <f>AND(#REF!,"AAAAAHnl904=")</f>
        <v>#REF!</v>
      </c>
      <c r="CB8" t="e">
        <f>AND(#REF!,"AAAAAHnl908=")</f>
        <v>#REF!</v>
      </c>
      <c r="CC8" t="e">
        <f>AND(#REF!,"AAAAAHnl91A=")</f>
        <v>#REF!</v>
      </c>
      <c r="CD8" t="e">
        <f>AND(#REF!,"AAAAAHnl91E=")</f>
        <v>#REF!</v>
      </c>
      <c r="CE8" t="e">
        <f>AND(#REF!,"AAAAAHnl91I=")</f>
        <v>#REF!</v>
      </c>
      <c r="CF8" t="e">
        <f>AND(#REF!,"AAAAAHnl91M=")</f>
        <v>#REF!</v>
      </c>
      <c r="CG8" t="e">
        <f>AND(#REF!,"AAAAAHnl91Q=")</f>
        <v>#REF!</v>
      </c>
      <c r="CH8" t="e">
        <f>AND(#REF!,"AAAAAHnl91U=")</f>
        <v>#REF!</v>
      </c>
      <c r="CI8" t="e">
        <f>AND(#REF!,"AAAAAHnl91Y=")</f>
        <v>#REF!</v>
      </c>
      <c r="CJ8" t="e">
        <f>AND(#REF!,"AAAAAHnl91c=")</f>
        <v>#REF!</v>
      </c>
      <c r="CK8" t="e">
        <f>AND(#REF!,"AAAAAHnl91g=")</f>
        <v>#REF!</v>
      </c>
      <c r="CL8" t="e">
        <f>AND(#REF!,"AAAAAHnl91k=")</f>
        <v>#REF!</v>
      </c>
      <c r="CM8" t="e">
        <f>AND(#REF!,"AAAAAHnl91o=")</f>
        <v>#REF!</v>
      </c>
      <c r="CN8" t="e">
        <f>AND(#REF!,"AAAAAHnl91s=")</f>
        <v>#REF!</v>
      </c>
      <c r="CO8" t="e">
        <f>AND(#REF!,"AAAAAHnl91w=")</f>
        <v>#REF!</v>
      </c>
      <c r="CP8" t="e">
        <f>AND(#REF!,"AAAAAHnl910=")</f>
        <v>#REF!</v>
      </c>
      <c r="CQ8" t="e">
        <f>AND(#REF!,"AAAAAHnl914=")</f>
        <v>#REF!</v>
      </c>
      <c r="CR8" t="e">
        <f>AND(#REF!,"AAAAAHnl918=")</f>
        <v>#REF!</v>
      </c>
      <c r="CS8" t="e">
        <f>AND(#REF!,"AAAAAHnl92A=")</f>
        <v>#REF!</v>
      </c>
      <c r="CT8" t="e">
        <f>AND(#REF!,"AAAAAHnl92E=")</f>
        <v>#REF!</v>
      </c>
      <c r="CU8" t="e">
        <f>AND(#REF!,"AAAAAHnl92I=")</f>
        <v>#REF!</v>
      </c>
      <c r="CV8" t="e">
        <f>AND(#REF!,"AAAAAHnl92M=")</f>
        <v>#REF!</v>
      </c>
      <c r="CW8" t="e">
        <f>AND(#REF!,"AAAAAHnl92Q=")</f>
        <v>#REF!</v>
      </c>
      <c r="CX8" t="e">
        <f>AND(#REF!,"AAAAAHnl92U=")</f>
        <v>#REF!</v>
      </c>
      <c r="CY8" t="e">
        <f>AND(#REF!,"AAAAAHnl92Y=")</f>
        <v>#REF!</v>
      </c>
      <c r="CZ8" t="e">
        <f>AND(#REF!,"AAAAAHnl92c=")</f>
        <v>#REF!</v>
      </c>
      <c r="DA8" t="e">
        <f>AND(#REF!,"AAAAAHnl92g=")</f>
        <v>#REF!</v>
      </c>
      <c r="DB8" t="e">
        <f>AND(#REF!,"AAAAAHnl92k=")</f>
        <v>#REF!</v>
      </c>
      <c r="DC8" t="e">
        <f>AND(#REF!,"AAAAAHnl92o=")</f>
        <v>#REF!</v>
      </c>
      <c r="DD8" t="e">
        <f>AND(#REF!,"AAAAAHnl92s=")</f>
        <v>#REF!</v>
      </c>
      <c r="DE8" t="e">
        <f>AND(#REF!,"AAAAAHnl92w=")</f>
        <v>#REF!</v>
      </c>
      <c r="DF8" t="e">
        <f>AND(#REF!,"AAAAAHnl920=")</f>
        <v>#REF!</v>
      </c>
      <c r="DG8" t="e">
        <f>AND(#REF!,"AAAAAHnl924=")</f>
        <v>#REF!</v>
      </c>
      <c r="DH8" t="e">
        <f>AND(#REF!,"AAAAAHnl928=")</f>
        <v>#REF!</v>
      </c>
      <c r="DI8" t="e">
        <f>AND(#REF!,"AAAAAHnl93A=")</f>
        <v>#REF!</v>
      </c>
      <c r="DJ8" t="e">
        <f>AND(#REF!,"AAAAAHnl93E=")</f>
        <v>#REF!</v>
      </c>
      <c r="DK8" t="e">
        <f>AND(#REF!,"AAAAAHnl93I=")</f>
        <v>#REF!</v>
      </c>
      <c r="DL8" t="e">
        <f>AND(#REF!,"AAAAAHnl93M=")</f>
        <v>#REF!</v>
      </c>
      <c r="DM8" t="e">
        <f>AND(#REF!,"AAAAAHnl93Q=")</f>
        <v>#REF!</v>
      </c>
      <c r="DN8" t="e">
        <f>AND(#REF!,"AAAAAHnl93U=")</f>
        <v>#REF!</v>
      </c>
      <c r="DO8" t="e">
        <f>AND(#REF!,"AAAAAHnl93Y=")</f>
        <v>#REF!</v>
      </c>
      <c r="DP8" t="e">
        <f>AND(#REF!,"AAAAAHnl93c=")</f>
        <v>#REF!</v>
      </c>
      <c r="DQ8" t="e">
        <f>AND(#REF!,"AAAAAHnl93g=")</f>
        <v>#REF!</v>
      </c>
      <c r="DR8" t="e">
        <f>AND(#REF!,"AAAAAHnl93k=")</f>
        <v>#REF!</v>
      </c>
      <c r="DS8" t="e">
        <f>AND(#REF!,"AAAAAHnl93o=")</f>
        <v>#REF!</v>
      </c>
      <c r="DT8" t="e">
        <f>AND(#REF!,"AAAAAHnl93s=")</f>
        <v>#REF!</v>
      </c>
      <c r="DU8" t="e">
        <f>AND(#REF!,"AAAAAHnl93w=")</f>
        <v>#REF!</v>
      </c>
      <c r="DV8" t="e">
        <f>AND(#REF!,"AAAAAHnl930=")</f>
        <v>#REF!</v>
      </c>
      <c r="DW8" t="e">
        <f>AND(#REF!,"AAAAAHnl934=")</f>
        <v>#REF!</v>
      </c>
      <c r="DX8" t="e">
        <f>AND(#REF!,"AAAAAHnl938=")</f>
        <v>#REF!</v>
      </c>
      <c r="DY8" t="e">
        <f>AND(#REF!,"AAAAAHnl94A=")</f>
        <v>#REF!</v>
      </c>
      <c r="DZ8" t="e">
        <f>AND(#REF!,"AAAAAHnl94E=")</f>
        <v>#REF!</v>
      </c>
      <c r="EA8" t="e">
        <f>AND(#REF!,"AAAAAHnl94I=")</f>
        <v>#REF!</v>
      </c>
      <c r="EB8" t="e">
        <f>AND(#REF!,"AAAAAHnl94M=")</f>
        <v>#REF!</v>
      </c>
      <c r="EC8" t="e">
        <f>AND(#REF!,"AAAAAHnl94Q=")</f>
        <v>#REF!</v>
      </c>
      <c r="ED8" t="e">
        <f>AND(#REF!,"AAAAAHnl94U=")</f>
        <v>#REF!</v>
      </c>
      <c r="EE8" t="e">
        <f>AND(#REF!,"AAAAAHnl94Y=")</f>
        <v>#REF!</v>
      </c>
      <c r="EF8" t="e">
        <f>AND(#REF!,"AAAAAHnl94c=")</f>
        <v>#REF!</v>
      </c>
      <c r="EG8" t="e">
        <f>AND(#REF!,"AAAAAHnl94g=")</f>
        <v>#REF!</v>
      </c>
      <c r="EH8" t="e">
        <f>AND(#REF!,"AAAAAHnl94k=")</f>
        <v>#REF!</v>
      </c>
      <c r="EI8" t="e">
        <f>AND(#REF!,"AAAAAHnl94o=")</f>
        <v>#REF!</v>
      </c>
      <c r="EJ8" t="e">
        <f>AND(#REF!,"AAAAAHnl94s=")</f>
        <v>#REF!</v>
      </c>
      <c r="EK8" t="e">
        <f>AND(#REF!,"AAAAAHnl94w=")</f>
        <v>#REF!</v>
      </c>
      <c r="EL8" t="e">
        <f>AND(#REF!,"AAAAAHnl940=")</f>
        <v>#REF!</v>
      </c>
      <c r="EM8" t="e">
        <f>AND(#REF!,"AAAAAHnl944=")</f>
        <v>#REF!</v>
      </c>
      <c r="EN8" t="e">
        <f>AND(#REF!,"AAAAAHnl948=")</f>
        <v>#REF!</v>
      </c>
      <c r="EO8" t="e">
        <f>AND(#REF!,"AAAAAHnl95A=")</f>
        <v>#REF!</v>
      </c>
      <c r="EP8" t="e">
        <f>AND(#REF!,"AAAAAHnl95E=")</f>
        <v>#REF!</v>
      </c>
      <c r="EQ8" t="e">
        <f>AND(#REF!,"AAAAAHnl95I=")</f>
        <v>#REF!</v>
      </c>
      <c r="ER8" t="e">
        <f>AND(#REF!,"AAAAAHnl95M=")</f>
        <v>#REF!</v>
      </c>
      <c r="ES8" t="e">
        <f>AND(#REF!,"AAAAAHnl95Q=")</f>
        <v>#REF!</v>
      </c>
      <c r="ET8" t="e">
        <f>AND(#REF!,"AAAAAHnl95U=")</f>
        <v>#REF!</v>
      </c>
      <c r="EU8" t="e">
        <f>AND(#REF!,"AAAAAHnl95Y=")</f>
        <v>#REF!</v>
      </c>
      <c r="EV8" t="e">
        <f>AND(#REF!,"AAAAAHnl95c=")</f>
        <v>#REF!</v>
      </c>
      <c r="EW8" t="e">
        <f>AND(#REF!,"AAAAAHnl95g=")</f>
        <v>#REF!</v>
      </c>
      <c r="EX8" t="e">
        <f>AND(#REF!,"AAAAAHnl95k=")</f>
        <v>#REF!</v>
      </c>
      <c r="EY8" t="e">
        <f>AND(#REF!,"AAAAAHnl95o=")</f>
        <v>#REF!</v>
      </c>
      <c r="EZ8" t="e">
        <f>AND(#REF!,"AAAAAHnl95s=")</f>
        <v>#REF!</v>
      </c>
      <c r="FA8" t="e">
        <f>AND(#REF!,"AAAAAHnl95w=")</f>
        <v>#REF!</v>
      </c>
      <c r="FB8" t="e">
        <f>AND(#REF!,"AAAAAHnl950=")</f>
        <v>#REF!</v>
      </c>
      <c r="FC8" t="e">
        <f>AND(#REF!,"AAAAAHnl954=")</f>
        <v>#REF!</v>
      </c>
      <c r="FD8" t="e">
        <f>AND(#REF!,"AAAAAHnl958=")</f>
        <v>#REF!</v>
      </c>
      <c r="FE8" t="e">
        <f>AND(#REF!,"AAAAAHnl96A=")</f>
        <v>#REF!</v>
      </c>
      <c r="FF8" t="e">
        <f>AND(#REF!,"AAAAAHnl96E=")</f>
        <v>#REF!</v>
      </c>
      <c r="FG8" t="e">
        <f>AND(#REF!,"AAAAAHnl96I=")</f>
        <v>#REF!</v>
      </c>
      <c r="FH8" t="e">
        <f>AND(#REF!,"AAAAAHnl96M=")</f>
        <v>#REF!</v>
      </c>
      <c r="FI8" t="e">
        <f>AND(#REF!,"AAAAAHnl96Q=")</f>
        <v>#REF!</v>
      </c>
      <c r="FJ8" t="e">
        <f>AND(#REF!,"AAAAAHnl96U=")</f>
        <v>#REF!</v>
      </c>
      <c r="FK8" t="e">
        <f>AND(#REF!,"AAAAAHnl96Y=")</f>
        <v>#REF!</v>
      </c>
      <c r="FL8" t="e">
        <f>AND(#REF!,"AAAAAHnl96c=")</f>
        <v>#REF!</v>
      </c>
      <c r="FM8" t="e">
        <f>AND(#REF!,"AAAAAHnl96g=")</f>
        <v>#REF!</v>
      </c>
      <c r="FN8" t="e">
        <f>AND(#REF!,"AAAAAHnl96k=")</f>
        <v>#REF!</v>
      </c>
      <c r="FO8" t="e">
        <f>AND(#REF!,"AAAAAHnl96o=")</f>
        <v>#REF!</v>
      </c>
      <c r="FP8" t="e">
        <f>AND(#REF!,"AAAAAHnl96s=")</f>
        <v>#REF!</v>
      </c>
      <c r="FQ8" t="e">
        <f>AND(#REF!,"AAAAAHnl96w=")</f>
        <v>#REF!</v>
      </c>
      <c r="FR8" t="e">
        <f>AND(#REF!,"AAAAAHnl960=")</f>
        <v>#REF!</v>
      </c>
      <c r="FS8" t="e">
        <f>AND(#REF!,"AAAAAHnl964=")</f>
        <v>#REF!</v>
      </c>
      <c r="FT8" t="e">
        <f>AND(#REF!,"AAAAAHnl968=")</f>
        <v>#REF!</v>
      </c>
      <c r="FU8" t="e">
        <f>AND(#REF!,"AAAAAHnl97A=")</f>
        <v>#REF!</v>
      </c>
      <c r="FV8" t="e">
        <f>AND(#REF!,"AAAAAHnl97E=")</f>
        <v>#REF!</v>
      </c>
      <c r="FW8" t="e">
        <f>AND(#REF!,"AAAAAHnl97I=")</f>
        <v>#REF!</v>
      </c>
      <c r="FX8" t="e">
        <f>AND(#REF!,"AAAAAHnl97M=")</f>
        <v>#REF!</v>
      </c>
      <c r="FY8" t="e">
        <f>AND(#REF!,"AAAAAHnl97Q=")</f>
        <v>#REF!</v>
      </c>
      <c r="FZ8" t="e">
        <f>AND(#REF!,"AAAAAHnl97U=")</f>
        <v>#REF!</v>
      </c>
      <c r="GA8" t="e">
        <f>AND(#REF!,"AAAAAHnl97Y=")</f>
        <v>#REF!</v>
      </c>
      <c r="GB8" t="e">
        <f>AND(#REF!,"AAAAAHnl97c=")</f>
        <v>#REF!</v>
      </c>
      <c r="GC8" t="e">
        <f>AND(#REF!,"AAAAAHnl97g=")</f>
        <v>#REF!</v>
      </c>
      <c r="GD8" t="e">
        <f>AND(#REF!,"AAAAAHnl97k=")</f>
        <v>#REF!</v>
      </c>
      <c r="GE8" t="e">
        <f>AND(#REF!,"AAAAAHnl97o=")</f>
        <v>#REF!</v>
      </c>
      <c r="GF8" t="e">
        <f>AND(#REF!,"AAAAAHnl97s=")</f>
        <v>#REF!</v>
      </c>
      <c r="GG8" t="e">
        <f>AND(#REF!,"AAAAAHnl97w=")</f>
        <v>#REF!</v>
      </c>
      <c r="GH8" t="e">
        <f>AND(#REF!,"AAAAAHnl970=")</f>
        <v>#REF!</v>
      </c>
      <c r="GI8" t="e">
        <f>AND(#REF!,"AAAAAHnl974=")</f>
        <v>#REF!</v>
      </c>
      <c r="GJ8" t="e">
        <f>AND(#REF!,"AAAAAHnl978=")</f>
        <v>#REF!</v>
      </c>
      <c r="GK8" t="e">
        <f>AND(#REF!,"AAAAAHnl98A=")</f>
        <v>#REF!</v>
      </c>
      <c r="GL8" t="e">
        <f>AND(#REF!,"AAAAAHnl98E=")</f>
        <v>#REF!</v>
      </c>
      <c r="GM8" t="e">
        <f>AND(#REF!,"AAAAAHnl98I=")</f>
        <v>#REF!</v>
      </c>
      <c r="GN8" t="e">
        <f>AND(#REF!,"AAAAAHnl98M=")</f>
        <v>#REF!</v>
      </c>
      <c r="GO8" t="e">
        <f>AND(#REF!,"AAAAAHnl98Q=")</f>
        <v>#REF!</v>
      </c>
      <c r="GP8" t="e">
        <f>AND(#REF!,"AAAAAHnl98U=")</f>
        <v>#REF!</v>
      </c>
      <c r="GQ8" t="e">
        <f>AND(#REF!,"AAAAAHnl98Y=")</f>
        <v>#REF!</v>
      </c>
      <c r="GR8" t="e">
        <f>AND(#REF!,"AAAAAHnl98c=")</f>
        <v>#REF!</v>
      </c>
      <c r="GS8" t="e">
        <f>AND(#REF!,"AAAAAHnl98g=")</f>
        <v>#REF!</v>
      </c>
      <c r="GT8" t="e">
        <f>AND(#REF!,"AAAAAHnl98k=")</f>
        <v>#REF!</v>
      </c>
      <c r="GU8" t="e">
        <f>AND(#REF!,"AAAAAHnl98o=")</f>
        <v>#REF!</v>
      </c>
      <c r="GV8" t="e">
        <f>AND(#REF!,"AAAAAHnl98s=")</f>
        <v>#REF!</v>
      </c>
      <c r="GW8" t="e">
        <f>AND(#REF!,"AAAAAHnl98w=")</f>
        <v>#REF!</v>
      </c>
      <c r="GX8" t="e">
        <f>AND(#REF!,"AAAAAHnl980=")</f>
        <v>#REF!</v>
      </c>
      <c r="GY8" t="e">
        <f>AND(#REF!,"AAAAAHnl984=")</f>
        <v>#REF!</v>
      </c>
      <c r="GZ8" t="e">
        <f>AND(#REF!,"AAAAAHnl988=")</f>
        <v>#REF!</v>
      </c>
      <c r="HA8" t="e">
        <f>AND(#REF!,"AAAAAHnl99A=")</f>
        <v>#REF!</v>
      </c>
      <c r="HB8" t="e">
        <f>AND(#REF!,"AAAAAHnl99E=")</f>
        <v>#REF!</v>
      </c>
      <c r="HC8" t="e">
        <f>AND(#REF!,"AAAAAHnl99I=")</f>
        <v>#REF!</v>
      </c>
      <c r="HD8" t="e">
        <f>AND(#REF!,"AAAAAHnl99M=")</f>
        <v>#REF!</v>
      </c>
      <c r="HE8" t="e">
        <f>AND(#REF!,"AAAAAHnl99Q=")</f>
        <v>#REF!</v>
      </c>
      <c r="HF8" t="e">
        <f>AND(#REF!,"AAAAAHnl99U=")</f>
        <v>#REF!</v>
      </c>
      <c r="HG8" t="e">
        <f>AND(#REF!,"AAAAAHnl99Y=")</f>
        <v>#REF!</v>
      </c>
      <c r="HH8" t="e">
        <f>AND(#REF!,"AAAAAHnl99c=")</f>
        <v>#REF!</v>
      </c>
      <c r="HI8" t="e">
        <f>AND(#REF!,"AAAAAHnl99g=")</f>
        <v>#REF!</v>
      </c>
      <c r="HJ8" t="e">
        <f>AND(#REF!,"AAAAAHnl99k=")</f>
        <v>#REF!</v>
      </c>
      <c r="HK8" t="e">
        <f>AND(#REF!,"AAAAAHnl99o=")</f>
        <v>#REF!</v>
      </c>
      <c r="HL8" t="e">
        <f>AND(#REF!,"AAAAAHnl99s=")</f>
        <v>#REF!</v>
      </c>
      <c r="HM8" t="e">
        <f>AND(#REF!,"AAAAAHnl99w=")</f>
        <v>#REF!</v>
      </c>
      <c r="HN8" t="e">
        <f>AND(#REF!,"AAAAAHnl990=")</f>
        <v>#REF!</v>
      </c>
      <c r="HO8" t="e">
        <f>AND(#REF!,"AAAAAHnl994=")</f>
        <v>#REF!</v>
      </c>
      <c r="HP8" t="e">
        <f>AND(#REF!,"AAAAAHnl998=")</f>
        <v>#REF!</v>
      </c>
      <c r="HQ8" t="e">
        <f>AND(#REF!,"AAAAAHnl9+A=")</f>
        <v>#REF!</v>
      </c>
      <c r="HR8" t="e">
        <f>AND(#REF!,"AAAAAHnl9+E=")</f>
        <v>#REF!</v>
      </c>
      <c r="HS8" t="e">
        <f>AND(#REF!,"AAAAAHnl9+I=")</f>
        <v>#REF!</v>
      </c>
      <c r="HT8" t="e">
        <f>AND(#REF!,"AAAAAHnl9+M=")</f>
        <v>#REF!</v>
      </c>
      <c r="HU8" t="e">
        <f>AND(#REF!,"AAAAAHnl9+Q=")</f>
        <v>#REF!</v>
      </c>
      <c r="HV8" t="e">
        <f>AND(#REF!,"AAAAAHnl9+U=")</f>
        <v>#REF!</v>
      </c>
      <c r="HW8" t="e">
        <f>AND(#REF!,"AAAAAHnl9+Y=")</f>
        <v>#REF!</v>
      </c>
      <c r="HX8" t="e">
        <f>AND(#REF!,"AAAAAHnl9+c=")</f>
        <v>#REF!</v>
      </c>
      <c r="HY8" t="e">
        <f>AND(#REF!,"AAAAAHnl9+g=")</f>
        <v>#REF!</v>
      </c>
      <c r="HZ8" t="e">
        <f>AND(#REF!,"AAAAAHnl9+k=")</f>
        <v>#REF!</v>
      </c>
      <c r="IA8" t="e">
        <f>AND(#REF!,"AAAAAHnl9+o=")</f>
        <v>#REF!</v>
      </c>
      <c r="IB8" t="e">
        <f>AND(#REF!,"AAAAAHnl9+s=")</f>
        <v>#REF!</v>
      </c>
      <c r="IC8" t="e">
        <f>AND(#REF!,"AAAAAHnl9+w=")</f>
        <v>#REF!</v>
      </c>
      <c r="ID8" t="e">
        <f>AND(#REF!,"AAAAAHnl9+0=")</f>
        <v>#REF!</v>
      </c>
      <c r="IE8" t="e">
        <f>AND(#REF!,"AAAAAHnl9+4=")</f>
        <v>#REF!</v>
      </c>
      <c r="IF8" t="e">
        <f>AND(#REF!,"AAAAAHnl9+8=")</f>
        <v>#REF!</v>
      </c>
      <c r="IG8" t="e">
        <f>AND(#REF!,"AAAAAHnl9/A=")</f>
        <v>#REF!</v>
      </c>
      <c r="IH8" t="e">
        <f>AND(#REF!,"AAAAAHnl9/E=")</f>
        <v>#REF!</v>
      </c>
      <c r="II8" t="e">
        <f>AND(#REF!,"AAAAAHnl9/I=")</f>
        <v>#REF!</v>
      </c>
      <c r="IJ8" t="e">
        <f>AND(#REF!,"AAAAAHnl9/M=")</f>
        <v>#REF!</v>
      </c>
      <c r="IK8" t="e">
        <f>AND(#REF!,"AAAAAHnl9/Q=")</f>
        <v>#REF!</v>
      </c>
      <c r="IL8" t="e">
        <f>AND(#REF!,"AAAAAHnl9/U=")</f>
        <v>#REF!</v>
      </c>
      <c r="IM8" t="e">
        <f>AND(#REF!,"AAAAAHnl9/Y=")</f>
        <v>#REF!</v>
      </c>
      <c r="IN8" t="e">
        <f>AND(#REF!,"AAAAAHnl9/c=")</f>
        <v>#REF!</v>
      </c>
      <c r="IO8" t="e">
        <f>AND(#REF!,"AAAAAHnl9/g=")</f>
        <v>#REF!</v>
      </c>
      <c r="IP8" t="e">
        <f>AND(#REF!,"AAAAAHnl9/k=")</f>
        <v>#REF!</v>
      </c>
      <c r="IQ8" t="e">
        <f>AND(#REF!,"AAAAAHnl9/o=")</f>
        <v>#REF!</v>
      </c>
      <c r="IR8" t="e">
        <f>AND(#REF!,"AAAAAHnl9/s=")</f>
        <v>#REF!</v>
      </c>
      <c r="IS8" t="e">
        <f>AND(#REF!,"AAAAAHnl9/w=")</f>
        <v>#REF!</v>
      </c>
      <c r="IT8" t="e">
        <f>AND(#REF!,"AAAAAHnl9/0=")</f>
        <v>#REF!</v>
      </c>
      <c r="IU8" t="e">
        <f>AND(#REF!,"AAAAAHnl9/4=")</f>
        <v>#REF!</v>
      </c>
      <c r="IV8" t="e">
        <f>AND(#REF!,"AAAAAHnl9/8=")</f>
        <v>#REF!</v>
      </c>
    </row>
    <row r="9" spans="1:256" x14ac:dyDescent="0.25">
      <c r="A9" t="e">
        <f>AND(#REF!,"AAAAAHq9+wA=")</f>
        <v>#REF!</v>
      </c>
      <c r="B9" t="e">
        <f>IF(#REF!,"AAAAAHq9+wE=",0)</f>
        <v>#REF!</v>
      </c>
      <c r="C9" t="e">
        <f>AND(#REF!,"AAAAAHq9+wI=")</f>
        <v>#REF!</v>
      </c>
      <c r="D9" t="e">
        <f>AND(#REF!,"AAAAAHq9+wM=")</f>
        <v>#REF!</v>
      </c>
      <c r="E9" t="e">
        <f>AND(#REF!,"AAAAAHq9+wQ=")</f>
        <v>#REF!</v>
      </c>
      <c r="F9" t="e">
        <f>AND(#REF!,"AAAAAHq9+wU=")</f>
        <v>#REF!</v>
      </c>
      <c r="G9" t="e">
        <f>AND(#REF!,"AAAAAHq9+wY=")</f>
        <v>#REF!</v>
      </c>
      <c r="H9" t="e">
        <f>AND(#REF!,"AAAAAHq9+wc=")</f>
        <v>#REF!</v>
      </c>
      <c r="I9" t="e">
        <f>AND(#REF!,"AAAAAHq9+wg=")</f>
        <v>#REF!</v>
      </c>
      <c r="J9" t="e">
        <f>AND(#REF!,"AAAAAHq9+wk=")</f>
        <v>#REF!</v>
      </c>
      <c r="K9" t="e">
        <f>AND(#REF!,"AAAAAHq9+wo=")</f>
        <v>#REF!</v>
      </c>
      <c r="L9" t="e">
        <f>AND(#REF!,"AAAAAHq9+ws=")</f>
        <v>#REF!</v>
      </c>
      <c r="M9" t="e">
        <f>AND(#REF!,"AAAAAHq9+ww=")</f>
        <v>#REF!</v>
      </c>
      <c r="N9" t="e">
        <f>AND(#REF!,"AAAAAHq9+w0=")</f>
        <v>#REF!</v>
      </c>
      <c r="O9" t="e">
        <f>AND(#REF!,"AAAAAHq9+w4=")</f>
        <v>#REF!</v>
      </c>
      <c r="P9" t="e">
        <f>AND(#REF!,"AAAAAHq9+w8=")</f>
        <v>#REF!</v>
      </c>
      <c r="Q9" t="e">
        <f>AND(#REF!,"AAAAAHq9+xA=")</f>
        <v>#REF!</v>
      </c>
      <c r="R9" t="e">
        <f>AND(#REF!,"AAAAAHq9+xE=")</f>
        <v>#REF!</v>
      </c>
      <c r="S9" t="e">
        <f>AND(#REF!,"AAAAAHq9+xI=")</f>
        <v>#REF!</v>
      </c>
      <c r="T9" t="e">
        <f>AND(#REF!,"AAAAAHq9+xM=")</f>
        <v>#REF!</v>
      </c>
      <c r="U9" t="e">
        <f>AND(#REF!,"AAAAAHq9+xQ=")</f>
        <v>#REF!</v>
      </c>
      <c r="V9" t="e">
        <f>AND(#REF!,"AAAAAHq9+xU=")</f>
        <v>#REF!</v>
      </c>
      <c r="W9" t="e">
        <f>AND(#REF!,"AAAAAHq9+xY=")</f>
        <v>#REF!</v>
      </c>
      <c r="X9" t="e">
        <f>AND(#REF!,"AAAAAHq9+xc=")</f>
        <v>#REF!</v>
      </c>
      <c r="Y9" t="e">
        <f>AND(#REF!,"AAAAAHq9+xg=")</f>
        <v>#REF!</v>
      </c>
      <c r="Z9" t="e">
        <f>AND(#REF!,"AAAAAHq9+xk=")</f>
        <v>#REF!</v>
      </c>
      <c r="AA9" t="e">
        <f>AND(#REF!,"AAAAAHq9+xo=")</f>
        <v>#REF!</v>
      </c>
      <c r="AB9" t="e">
        <f>AND(#REF!,"AAAAAHq9+xs=")</f>
        <v>#REF!</v>
      </c>
      <c r="AC9" t="e">
        <f>AND(#REF!,"AAAAAHq9+xw=")</f>
        <v>#REF!</v>
      </c>
      <c r="AD9" t="e">
        <f>AND(#REF!,"AAAAAHq9+x0=")</f>
        <v>#REF!</v>
      </c>
      <c r="AE9" t="e">
        <f>AND(#REF!,"AAAAAHq9+x4=")</f>
        <v>#REF!</v>
      </c>
      <c r="AF9" t="e">
        <f>AND(#REF!,"AAAAAHq9+x8=")</f>
        <v>#REF!</v>
      </c>
      <c r="AG9" t="e">
        <f>AND(#REF!,"AAAAAHq9+yA=")</f>
        <v>#REF!</v>
      </c>
      <c r="AH9" t="e">
        <f>AND(#REF!,"AAAAAHq9+yE=")</f>
        <v>#REF!</v>
      </c>
      <c r="AI9" t="e">
        <f>AND(#REF!,"AAAAAHq9+yI=")</f>
        <v>#REF!</v>
      </c>
      <c r="AJ9" t="e">
        <f>AND(#REF!,"AAAAAHq9+yM=")</f>
        <v>#REF!</v>
      </c>
      <c r="AK9" t="e">
        <f>AND(#REF!,"AAAAAHq9+yQ=")</f>
        <v>#REF!</v>
      </c>
      <c r="AL9" t="e">
        <f>AND(#REF!,"AAAAAHq9+yU=")</f>
        <v>#REF!</v>
      </c>
      <c r="AM9" t="e">
        <f>AND(#REF!,"AAAAAHq9+yY=")</f>
        <v>#REF!</v>
      </c>
      <c r="AN9" t="e">
        <f>AND(#REF!,"AAAAAHq9+yc=")</f>
        <v>#REF!</v>
      </c>
      <c r="AO9" t="e">
        <f>AND(#REF!,"AAAAAHq9+yg=")</f>
        <v>#REF!</v>
      </c>
      <c r="AP9" t="e">
        <f>AND(#REF!,"AAAAAHq9+yk=")</f>
        <v>#REF!</v>
      </c>
      <c r="AQ9" t="e">
        <f>AND(#REF!,"AAAAAHq9+yo=")</f>
        <v>#REF!</v>
      </c>
      <c r="AR9" t="e">
        <f>AND(#REF!,"AAAAAHq9+ys=")</f>
        <v>#REF!</v>
      </c>
      <c r="AS9" t="e">
        <f>AND(#REF!,"AAAAAHq9+yw=")</f>
        <v>#REF!</v>
      </c>
      <c r="AT9" t="e">
        <f>AND(#REF!,"AAAAAHq9+y0=")</f>
        <v>#REF!</v>
      </c>
      <c r="AU9" t="e">
        <f>AND(#REF!,"AAAAAHq9+y4=")</f>
        <v>#REF!</v>
      </c>
      <c r="AV9" t="e">
        <f>AND(#REF!,"AAAAAHq9+y8=")</f>
        <v>#REF!</v>
      </c>
      <c r="AW9" t="e">
        <f>AND(#REF!,"AAAAAHq9+zA=")</f>
        <v>#REF!</v>
      </c>
      <c r="AX9" t="e">
        <f>AND(#REF!,"AAAAAHq9+zE=")</f>
        <v>#REF!</v>
      </c>
      <c r="AY9" t="e">
        <f>AND(#REF!,"AAAAAHq9+zI=")</f>
        <v>#REF!</v>
      </c>
      <c r="AZ9" t="e">
        <f>AND(#REF!,"AAAAAHq9+zM=")</f>
        <v>#REF!</v>
      </c>
      <c r="BA9" t="e">
        <f>AND(#REF!,"AAAAAHq9+zQ=")</f>
        <v>#REF!</v>
      </c>
      <c r="BB9" t="e">
        <f>AND(#REF!,"AAAAAHq9+zU=")</f>
        <v>#REF!</v>
      </c>
      <c r="BC9" t="e">
        <f>AND(#REF!,"AAAAAHq9+zY=")</f>
        <v>#REF!</v>
      </c>
      <c r="BD9" t="e">
        <f>AND(#REF!,"AAAAAHq9+zc=")</f>
        <v>#REF!</v>
      </c>
      <c r="BE9" t="e">
        <f>AND(#REF!,"AAAAAHq9+zg=")</f>
        <v>#REF!</v>
      </c>
      <c r="BF9" t="e">
        <f>AND(#REF!,"AAAAAHq9+zk=")</f>
        <v>#REF!</v>
      </c>
      <c r="BG9" t="e">
        <f>AND(#REF!,"AAAAAHq9+zo=")</f>
        <v>#REF!</v>
      </c>
      <c r="BH9" t="e">
        <f>AND(#REF!,"AAAAAHq9+zs=")</f>
        <v>#REF!</v>
      </c>
      <c r="BI9" t="e">
        <f>AND(#REF!,"AAAAAHq9+zw=")</f>
        <v>#REF!</v>
      </c>
      <c r="BJ9" t="e">
        <f>AND(#REF!,"AAAAAHq9+z0=")</f>
        <v>#REF!</v>
      </c>
      <c r="BK9" t="e">
        <f>AND(#REF!,"AAAAAHq9+z4=")</f>
        <v>#REF!</v>
      </c>
      <c r="BL9" t="e">
        <f>AND(#REF!,"AAAAAHq9+z8=")</f>
        <v>#REF!</v>
      </c>
      <c r="BM9" t="e">
        <f>AND(#REF!,"AAAAAHq9+0A=")</f>
        <v>#REF!</v>
      </c>
      <c r="BN9" t="e">
        <f>AND(#REF!,"AAAAAHq9+0E=")</f>
        <v>#REF!</v>
      </c>
      <c r="BO9" t="e">
        <f>AND(#REF!,"AAAAAHq9+0I=")</f>
        <v>#REF!</v>
      </c>
      <c r="BP9" t="e">
        <f>AND(#REF!,"AAAAAHq9+0M=")</f>
        <v>#REF!</v>
      </c>
      <c r="BQ9" t="e">
        <f>AND(#REF!,"AAAAAHq9+0Q=")</f>
        <v>#REF!</v>
      </c>
      <c r="BR9" t="e">
        <f>AND(#REF!,"AAAAAHq9+0U=")</f>
        <v>#REF!</v>
      </c>
      <c r="BS9" t="e">
        <f>AND(#REF!,"AAAAAHq9+0Y=")</f>
        <v>#REF!</v>
      </c>
      <c r="BT9" t="e">
        <f>AND(#REF!,"AAAAAHq9+0c=")</f>
        <v>#REF!</v>
      </c>
      <c r="BU9" t="e">
        <f>AND(#REF!,"AAAAAHq9+0g=")</f>
        <v>#REF!</v>
      </c>
      <c r="BV9" t="e">
        <f>AND(#REF!,"AAAAAHq9+0k=")</f>
        <v>#REF!</v>
      </c>
      <c r="BW9" t="e">
        <f>AND(#REF!,"AAAAAHq9+0o=")</f>
        <v>#REF!</v>
      </c>
      <c r="BX9" t="e">
        <f>AND(#REF!,"AAAAAHq9+0s=")</f>
        <v>#REF!</v>
      </c>
      <c r="BY9" t="e">
        <f>AND(#REF!,"AAAAAHq9+0w=")</f>
        <v>#REF!</v>
      </c>
      <c r="BZ9" t="e">
        <f>AND(#REF!,"AAAAAHq9+00=")</f>
        <v>#REF!</v>
      </c>
      <c r="CA9" t="e">
        <f>AND(#REF!,"AAAAAHq9+04=")</f>
        <v>#REF!</v>
      </c>
      <c r="CB9" t="e">
        <f>AND(#REF!,"AAAAAHq9+08=")</f>
        <v>#REF!</v>
      </c>
      <c r="CC9" t="e">
        <f>AND(#REF!,"AAAAAHq9+1A=")</f>
        <v>#REF!</v>
      </c>
      <c r="CD9" t="e">
        <f>AND(#REF!,"AAAAAHq9+1E=")</f>
        <v>#REF!</v>
      </c>
      <c r="CE9" t="e">
        <f>AND(#REF!,"AAAAAHq9+1I=")</f>
        <v>#REF!</v>
      </c>
      <c r="CF9" t="e">
        <f>AND(#REF!,"AAAAAHq9+1M=")</f>
        <v>#REF!</v>
      </c>
      <c r="CG9" t="e">
        <f>AND(#REF!,"AAAAAHq9+1Q=")</f>
        <v>#REF!</v>
      </c>
      <c r="CH9" t="e">
        <f>AND(#REF!,"AAAAAHq9+1U=")</f>
        <v>#REF!</v>
      </c>
      <c r="CI9" t="e">
        <f>AND(#REF!,"AAAAAHq9+1Y=")</f>
        <v>#REF!</v>
      </c>
      <c r="CJ9" t="e">
        <f>AND(#REF!,"AAAAAHq9+1c=")</f>
        <v>#REF!</v>
      </c>
      <c r="CK9" t="e">
        <f>AND(#REF!,"AAAAAHq9+1g=")</f>
        <v>#REF!</v>
      </c>
      <c r="CL9" t="e">
        <f>AND(#REF!,"AAAAAHq9+1k=")</f>
        <v>#REF!</v>
      </c>
      <c r="CM9" t="e">
        <f>AND(#REF!,"AAAAAHq9+1o=")</f>
        <v>#REF!</v>
      </c>
      <c r="CN9" t="e">
        <f>AND(#REF!,"AAAAAHq9+1s=")</f>
        <v>#REF!</v>
      </c>
      <c r="CO9" t="e">
        <f>AND(#REF!,"AAAAAHq9+1w=")</f>
        <v>#REF!</v>
      </c>
      <c r="CP9" t="e">
        <f>AND(#REF!,"AAAAAHq9+10=")</f>
        <v>#REF!</v>
      </c>
      <c r="CQ9" t="e">
        <f>AND(#REF!,"AAAAAHq9+14=")</f>
        <v>#REF!</v>
      </c>
      <c r="CR9" t="e">
        <f>AND(#REF!,"AAAAAHq9+18=")</f>
        <v>#REF!</v>
      </c>
      <c r="CS9" t="e">
        <f>AND(#REF!,"AAAAAHq9+2A=")</f>
        <v>#REF!</v>
      </c>
      <c r="CT9" t="e">
        <f>AND(#REF!,"AAAAAHq9+2E=")</f>
        <v>#REF!</v>
      </c>
      <c r="CU9" t="e">
        <f>AND(#REF!,"AAAAAHq9+2I=")</f>
        <v>#REF!</v>
      </c>
      <c r="CV9" t="e">
        <f>AND(#REF!,"AAAAAHq9+2M=")</f>
        <v>#REF!</v>
      </c>
      <c r="CW9" t="e">
        <f>AND(#REF!,"AAAAAHq9+2Q=")</f>
        <v>#REF!</v>
      </c>
      <c r="CX9" t="e">
        <f>AND(#REF!,"AAAAAHq9+2U=")</f>
        <v>#REF!</v>
      </c>
      <c r="CY9" t="e">
        <f>AND(#REF!,"AAAAAHq9+2Y=")</f>
        <v>#REF!</v>
      </c>
      <c r="CZ9" t="e">
        <f>AND(#REF!,"AAAAAHq9+2c=")</f>
        <v>#REF!</v>
      </c>
      <c r="DA9" t="e">
        <f>AND(#REF!,"AAAAAHq9+2g=")</f>
        <v>#REF!</v>
      </c>
      <c r="DB9" t="e">
        <f>AND(#REF!,"AAAAAHq9+2k=")</f>
        <v>#REF!</v>
      </c>
      <c r="DC9" t="e">
        <f>AND(#REF!,"AAAAAHq9+2o=")</f>
        <v>#REF!</v>
      </c>
      <c r="DD9" t="e">
        <f>AND(#REF!,"AAAAAHq9+2s=")</f>
        <v>#REF!</v>
      </c>
      <c r="DE9" t="e">
        <f>AND(#REF!,"AAAAAHq9+2w=")</f>
        <v>#REF!</v>
      </c>
      <c r="DF9" t="e">
        <f>AND(#REF!,"AAAAAHq9+20=")</f>
        <v>#REF!</v>
      </c>
      <c r="DG9" t="e">
        <f>AND(#REF!,"AAAAAHq9+24=")</f>
        <v>#REF!</v>
      </c>
      <c r="DH9" t="e">
        <f>AND(#REF!,"AAAAAHq9+28=")</f>
        <v>#REF!</v>
      </c>
      <c r="DI9" t="e">
        <f>AND(#REF!,"AAAAAHq9+3A=")</f>
        <v>#REF!</v>
      </c>
      <c r="DJ9" t="e">
        <f>AND(#REF!,"AAAAAHq9+3E=")</f>
        <v>#REF!</v>
      </c>
      <c r="DK9" t="e">
        <f>AND(#REF!,"AAAAAHq9+3I=")</f>
        <v>#REF!</v>
      </c>
      <c r="DL9" t="e">
        <f>AND(#REF!,"AAAAAHq9+3M=")</f>
        <v>#REF!</v>
      </c>
      <c r="DM9" t="e">
        <f>AND(#REF!,"AAAAAHq9+3Q=")</f>
        <v>#REF!</v>
      </c>
      <c r="DN9" t="e">
        <f>AND(#REF!,"AAAAAHq9+3U=")</f>
        <v>#REF!</v>
      </c>
      <c r="DO9" t="e">
        <f>AND(#REF!,"AAAAAHq9+3Y=")</f>
        <v>#REF!</v>
      </c>
      <c r="DP9" t="e">
        <f>AND(#REF!,"AAAAAHq9+3c=")</f>
        <v>#REF!</v>
      </c>
      <c r="DQ9" t="e">
        <f>AND(#REF!,"AAAAAHq9+3g=")</f>
        <v>#REF!</v>
      </c>
      <c r="DR9" t="e">
        <f>AND(#REF!,"AAAAAHq9+3k=")</f>
        <v>#REF!</v>
      </c>
      <c r="DS9" t="e">
        <f>AND(#REF!,"AAAAAHq9+3o=")</f>
        <v>#REF!</v>
      </c>
      <c r="DT9" t="e">
        <f>AND(#REF!,"AAAAAHq9+3s=")</f>
        <v>#REF!</v>
      </c>
      <c r="DU9" t="e">
        <f>AND(#REF!,"AAAAAHq9+3w=")</f>
        <v>#REF!</v>
      </c>
      <c r="DV9" t="e">
        <f>AND(#REF!,"AAAAAHq9+30=")</f>
        <v>#REF!</v>
      </c>
      <c r="DW9" t="e">
        <f>AND(#REF!,"AAAAAHq9+34=")</f>
        <v>#REF!</v>
      </c>
      <c r="DX9" t="e">
        <f>AND(#REF!,"AAAAAHq9+38=")</f>
        <v>#REF!</v>
      </c>
      <c r="DY9" t="e">
        <f>AND(#REF!,"AAAAAHq9+4A=")</f>
        <v>#REF!</v>
      </c>
      <c r="DZ9" t="e">
        <f>AND(#REF!,"AAAAAHq9+4E=")</f>
        <v>#REF!</v>
      </c>
      <c r="EA9" t="e">
        <f>AND(#REF!,"AAAAAHq9+4I=")</f>
        <v>#REF!</v>
      </c>
      <c r="EB9" t="e">
        <f>AND(#REF!,"AAAAAHq9+4M=")</f>
        <v>#REF!</v>
      </c>
      <c r="EC9" t="e">
        <f>AND(#REF!,"AAAAAHq9+4Q=")</f>
        <v>#REF!</v>
      </c>
      <c r="ED9" t="e">
        <f>AND(#REF!,"AAAAAHq9+4U=")</f>
        <v>#REF!</v>
      </c>
      <c r="EE9" t="e">
        <f>AND(#REF!,"AAAAAHq9+4Y=")</f>
        <v>#REF!</v>
      </c>
      <c r="EF9" t="e">
        <f>AND(#REF!,"AAAAAHq9+4c=")</f>
        <v>#REF!</v>
      </c>
      <c r="EG9" t="e">
        <f>AND(#REF!,"AAAAAHq9+4g=")</f>
        <v>#REF!</v>
      </c>
      <c r="EH9" t="e">
        <f>AND(#REF!,"AAAAAHq9+4k=")</f>
        <v>#REF!</v>
      </c>
      <c r="EI9" t="e">
        <f>AND(#REF!,"AAAAAHq9+4o=")</f>
        <v>#REF!</v>
      </c>
      <c r="EJ9" t="e">
        <f>AND(#REF!,"AAAAAHq9+4s=")</f>
        <v>#REF!</v>
      </c>
      <c r="EK9" t="e">
        <f>AND(#REF!,"AAAAAHq9+4w=")</f>
        <v>#REF!</v>
      </c>
      <c r="EL9" t="e">
        <f>AND(#REF!,"AAAAAHq9+40=")</f>
        <v>#REF!</v>
      </c>
      <c r="EM9" t="e">
        <f>AND(#REF!,"AAAAAHq9+44=")</f>
        <v>#REF!</v>
      </c>
      <c r="EN9" t="e">
        <f>AND(#REF!,"AAAAAHq9+48=")</f>
        <v>#REF!</v>
      </c>
      <c r="EO9" t="e">
        <f>AND(#REF!,"AAAAAHq9+5A=")</f>
        <v>#REF!</v>
      </c>
      <c r="EP9" t="e">
        <f>AND(#REF!,"AAAAAHq9+5E=")</f>
        <v>#REF!</v>
      </c>
      <c r="EQ9" t="e">
        <f>AND(#REF!,"AAAAAHq9+5I=")</f>
        <v>#REF!</v>
      </c>
      <c r="ER9" t="e">
        <f>AND(#REF!,"AAAAAHq9+5M=")</f>
        <v>#REF!</v>
      </c>
      <c r="ES9" t="e">
        <f>AND(#REF!,"AAAAAHq9+5Q=")</f>
        <v>#REF!</v>
      </c>
      <c r="ET9" t="e">
        <f>AND(#REF!,"AAAAAHq9+5U=")</f>
        <v>#REF!</v>
      </c>
      <c r="EU9" t="e">
        <f>AND(#REF!,"AAAAAHq9+5Y=")</f>
        <v>#REF!</v>
      </c>
      <c r="EV9" t="e">
        <f>AND(#REF!,"AAAAAHq9+5c=")</f>
        <v>#REF!</v>
      </c>
      <c r="EW9" t="e">
        <f>AND(#REF!,"AAAAAHq9+5g=")</f>
        <v>#REF!</v>
      </c>
      <c r="EX9" t="e">
        <f>AND(#REF!,"AAAAAHq9+5k=")</f>
        <v>#REF!</v>
      </c>
      <c r="EY9" t="e">
        <f>AND(#REF!,"AAAAAHq9+5o=")</f>
        <v>#REF!</v>
      </c>
      <c r="EZ9" t="e">
        <f>AND(#REF!,"AAAAAHq9+5s=")</f>
        <v>#REF!</v>
      </c>
      <c r="FA9" t="e">
        <f>AND(#REF!,"AAAAAHq9+5w=")</f>
        <v>#REF!</v>
      </c>
      <c r="FB9" t="e">
        <f>AND(#REF!,"AAAAAHq9+50=")</f>
        <v>#REF!</v>
      </c>
      <c r="FC9" t="e">
        <f>AND(#REF!,"AAAAAHq9+54=")</f>
        <v>#REF!</v>
      </c>
      <c r="FD9" t="e">
        <f>AND(#REF!,"AAAAAHq9+58=")</f>
        <v>#REF!</v>
      </c>
      <c r="FE9" t="e">
        <f>AND(#REF!,"AAAAAHq9+6A=")</f>
        <v>#REF!</v>
      </c>
      <c r="FF9" t="e">
        <f>AND(#REF!,"AAAAAHq9+6E=")</f>
        <v>#REF!</v>
      </c>
      <c r="FG9" t="e">
        <f>AND(#REF!,"AAAAAHq9+6I=")</f>
        <v>#REF!</v>
      </c>
      <c r="FH9" t="e">
        <f>AND(#REF!,"AAAAAHq9+6M=")</f>
        <v>#REF!</v>
      </c>
      <c r="FI9" t="e">
        <f>AND(#REF!,"AAAAAHq9+6Q=")</f>
        <v>#REF!</v>
      </c>
      <c r="FJ9" t="e">
        <f>AND(#REF!,"AAAAAHq9+6U=")</f>
        <v>#REF!</v>
      </c>
      <c r="FK9" t="e">
        <f>AND(#REF!,"AAAAAHq9+6Y=")</f>
        <v>#REF!</v>
      </c>
      <c r="FL9" t="e">
        <f>AND(#REF!,"AAAAAHq9+6c=")</f>
        <v>#REF!</v>
      </c>
      <c r="FM9" t="e">
        <f>AND(#REF!,"AAAAAHq9+6g=")</f>
        <v>#REF!</v>
      </c>
      <c r="FN9" t="e">
        <f>AND(#REF!,"AAAAAHq9+6k=")</f>
        <v>#REF!</v>
      </c>
      <c r="FO9" t="e">
        <f>AND(#REF!,"AAAAAHq9+6o=")</f>
        <v>#REF!</v>
      </c>
      <c r="FP9" t="e">
        <f>AND(#REF!,"AAAAAHq9+6s=")</f>
        <v>#REF!</v>
      </c>
      <c r="FQ9" t="e">
        <f>AND(#REF!,"AAAAAHq9+6w=")</f>
        <v>#REF!</v>
      </c>
      <c r="FR9" t="e">
        <f>AND(#REF!,"AAAAAHq9+60=")</f>
        <v>#REF!</v>
      </c>
      <c r="FS9" t="e">
        <f>AND(#REF!,"AAAAAHq9+64=")</f>
        <v>#REF!</v>
      </c>
      <c r="FT9" t="e">
        <f>AND(#REF!,"AAAAAHq9+68=")</f>
        <v>#REF!</v>
      </c>
      <c r="FU9" t="e">
        <f>AND(#REF!,"AAAAAHq9+7A=")</f>
        <v>#REF!</v>
      </c>
      <c r="FV9" t="e">
        <f>AND(#REF!,"AAAAAHq9+7E=")</f>
        <v>#REF!</v>
      </c>
      <c r="FW9" t="e">
        <f>AND(#REF!,"AAAAAHq9+7I=")</f>
        <v>#REF!</v>
      </c>
      <c r="FX9" t="e">
        <f>AND(#REF!,"AAAAAHq9+7M=")</f>
        <v>#REF!</v>
      </c>
      <c r="FY9" t="e">
        <f>AND(#REF!,"AAAAAHq9+7Q=")</f>
        <v>#REF!</v>
      </c>
      <c r="FZ9" t="e">
        <f>AND(#REF!,"AAAAAHq9+7U=")</f>
        <v>#REF!</v>
      </c>
      <c r="GA9" t="e">
        <f>AND(#REF!,"AAAAAHq9+7Y=")</f>
        <v>#REF!</v>
      </c>
      <c r="GB9" t="e">
        <f>AND(#REF!,"AAAAAHq9+7c=")</f>
        <v>#REF!</v>
      </c>
      <c r="GC9" t="e">
        <f>AND(#REF!,"AAAAAHq9+7g=")</f>
        <v>#REF!</v>
      </c>
      <c r="GD9" t="e">
        <f>AND(#REF!,"AAAAAHq9+7k=")</f>
        <v>#REF!</v>
      </c>
      <c r="GE9" t="e">
        <f>AND(#REF!,"AAAAAHq9+7o=")</f>
        <v>#REF!</v>
      </c>
      <c r="GF9" t="e">
        <f>AND(#REF!,"AAAAAHq9+7s=")</f>
        <v>#REF!</v>
      </c>
      <c r="GG9" t="e">
        <f>AND(#REF!,"AAAAAHq9+7w=")</f>
        <v>#REF!</v>
      </c>
      <c r="GH9" t="e">
        <f>AND(#REF!,"AAAAAHq9+70=")</f>
        <v>#REF!</v>
      </c>
      <c r="GI9" t="e">
        <f>AND(#REF!,"AAAAAHq9+74=")</f>
        <v>#REF!</v>
      </c>
      <c r="GJ9" t="e">
        <f>AND(#REF!,"AAAAAHq9+78=")</f>
        <v>#REF!</v>
      </c>
      <c r="GK9" t="e">
        <f>AND(#REF!,"AAAAAHq9+8A=")</f>
        <v>#REF!</v>
      </c>
      <c r="GL9" t="e">
        <f>AND(#REF!,"AAAAAHq9+8E=")</f>
        <v>#REF!</v>
      </c>
      <c r="GM9" t="e">
        <f>AND(#REF!,"AAAAAHq9+8I=")</f>
        <v>#REF!</v>
      </c>
      <c r="GN9" t="e">
        <f>AND(#REF!,"AAAAAHq9+8M=")</f>
        <v>#REF!</v>
      </c>
      <c r="GO9" t="e">
        <f>AND(#REF!,"AAAAAHq9+8Q=")</f>
        <v>#REF!</v>
      </c>
      <c r="GP9" t="e">
        <f>AND(#REF!,"AAAAAHq9+8U=")</f>
        <v>#REF!</v>
      </c>
      <c r="GQ9" t="e">
        <f>AND(#REF!,"AAAAAHq9+8Y=")</f>
        <v>#REF!</v>
      </c>
      <c r="GR9" t="e">
        <f>AND(#REF!,"AAAAAHq9+8c=")</f>
        <v>#REF!</v>
      </c>
      <c r="GS9" t="e">
        <f>AND(#REF!,"AAAAAHq9+8g=")</f>
        <v>#REF!</v>
      </c>
      <c r="GT9" t="e">
        <f>AND(#REF!,"AAAAAHq9+8k=")</f>
        <v>#REF!</v>
      </c>
      <c r="GU9" t="e">
        <f>AND(#REF!,"AAAAAHq9+8o=")</f>
        <v>#REF!</v>
      </c>
      <c r="GV9" t="e">
        <f>AND(#REF!,"AAAAAHq9+8s=")</f>
        <v>#REF!</v>
      </c>
      <c r="GW9" t="e">
        <f>AND(#REF!,"AAAAAHq9+8w=")</f>
        <v>#REF!</v>
      </c>
      <c r="GX9" t="e">
        <f>AND(#REF!,"AAAAAHq9+80=")</f>
        <v>#REF!</v>
      </c>
      <c r="GY9" t="e">
        <f>AND(#REF!,"AAAAAHq9+84=")</f>
        <v>#REF!</v>
      </c>
      <c r="GZ9" t="e">
        <f>AND(#REF!,"AAAAAHq9+88=")</f>
        <v>#REF!</v>
      </c>
      <c r="HA9" t="e">
        <f>AND(#REF!,"AAAAAHq9+9A=")</f>
        <v>#REF!</v>
      </c>
      <c r="HB9" t="e">
        <f>AND(#REF!,"AAAAAHq9+9E=")</f>
        <v>#REF!</v>
      </c>
      <c r="HC9" t="e">
        <f>AND(#REF!,"AAAAAHq9+9I=")</f>
        <v>#REF!</v>
      </c>
      <c r="HD9" t="e">
        <f>AND(#REF!,"AAAAAHq9+9M=")</f>
        <v>#REF!</v>
      </c>
      <c r="HE9" t="e">
        <f>AND(#REF!,"AAAAAHq9+9Q=")</f>
        <v>#REF!</v>
      </c>
      <c r="HF9" t="e">
        <f>AND(#REF!,"AAAAAHq9+9U=")</f>
        <v>#REF!</v>
      </c>
      <c r="HG9" t="e">
        <f>AND(#REF!,"AAAAAHq9+9Y=")</f>
        <v>#REF!</v>
      </c>
      <c r="HH9" t="e">
        <f>AND(#REF!,"AAAAAHq9+9c=")</f>
        <v>#REF!</v>
      </c>
      <c r="HI9" t="e">
        <f>AND(#REF!,"AAAAAHq9+9g=")</f>
        <v>#REF!</v>
      </c>
      <c r="HJ9" t="e">
        <f>AND(#REF!,"AAAAAHq9+9k=")</f>
        <v>#REF!</v>
      </c>
      <c r="HK9" t="e">
        <f>AND(#REF!,"AAAAAHq9+9o=")</f>
        <v>#REF!</v>
      </c>
      <c r="HL9" t="e">
        <f>AND(#REF!,"AAAAAHq9+9s=")</f>
        <v>#REF!</v>
      </c>
      <c r="HM9" t="e">
        <f>AND(#REF!,"AAAAAHq9+9w=")</f>
        <v>#REF!</v>
      </c>
      <c r="HN9" t="e">
        <f>AND(#REF!,"AAAAAHq9+90=")</f>
        <v>#REF!</v>
      </c>
      <c r="HO9" t="e">
        <f>AND(#REF!,"AAAAAHq9+94=")</f>
        <v>#REF!</v>
      </c>
      <c r="HP9" t="e">
        <f>AND(#REF!,"AAAAAHq9+98=")</f>
        <v>#REF!</v>
      </c>
      <c r="HQ9" t="e">
        <f>AND(#REF!,"AAAAAHq9++A=")</f>
        <v>#REF!</v>
      </c>
      <c r="HR9" t="e">
        <f>AND(#REF!,"AAAAAHq9++E=")</f>
        <v>#REF!</v>
      </c>
      <c r="HS9" t="e">
        <f>AND(#REF!,"AAAAAHq9++I=")</f>
        <v>#REF!</v>
      </c>
      <c r="HT9" t="e">
        <f>AND(#REF!,"AAAAAHq9++M=")</f>
        <v>#REF!</v>
      </c>
      <c r="HU9" t="e">
        <f>AND(#REF!,"AAAAAHq9++Q=")</f>
        <v>#REF!</v>
      </c>
      <c r="HV9" t="e">
        <f>AND(#REF!,"AAAAAHq9++U=")</f>
        <v>#REF!</v>
      </c>
      <c r="HW9" t="e">
        <f>AND(#REF!,"AAAAAHq9++Y=")</f>
        <v>#REF!</v>
      </c>
      <c r="HX9" t="e">
        <f>AND(#REF!,"AAAAAHq9++c=")</f>
        <v>#REF!</v>
      </c>
      <c r="HY9" t="e">
        <f>AND(#REF!,"AAAAAHq9++g=")</f>
        <v>#REF!</v>
      </c>
      <c r="HZ9" t="e">
        <f>AND(#REF!,"AAAAAHq9++k=")</f>
        <v>#REF!</v>
      </c>
      <c r="IA9" t="e">
        <f>AND(#REF!,"AAAAAHq9++o=")</f>
        <v>#REF!</v>
      </c>
      <c r="IB9" t="e">
        <f>AND(#REF!,"AAAAAHq9++s=")</f>
        <v>#REF!</v>
      </c>
      <c r="IC9" t="e">
        <f>AND(#REF!,"AAAAAHq9++w=")</f>
        <v>#REF!</v>
      </c>
      <c r="ID9" t="e">
        <f>AND(#REF!,"AAAAAHq9++0=")</f>
        <v>#REF!</v>
      </c>
      <c r="IE9" t="e">
        <f>AND(#REF!,"AAAAAHq9++4=")</f>
        <v>#REF!</v>
      </c>
      <c r="IF9" t="e">
        <f>AND(#REF!,"AAAAAHq9++8=")</f>
        <v>#REF!</v>
      </c>
      <c r="IG9" t="e">
        <f>AND(#REF!,"AAAAAHq9+/A=")</f>
        <v>#REF!</v>
      </c>
      <c r="IH9" t="e">
        <f>AND(#REF!,"AAAAAHq9+/E=")</f>
        <v>#REF!</v>
      </c>
      <c r="II9" t="e">
        <f>AND(#REF!,"AAAAAHq9+/I=")</f>
        <v>#REF!</v>
      </c>
      <c r="IJ9" t="e">
        <f>AND(#REF!,"AAAAAHq9+/M=")</f>
        <v>#REF!</v>
      </c>
      <c r="IK9" t="e">
        <f>AND(#REF!,"AAAAAHq9+/Q=")</f>
        <v>#REF!</v>
      </c>
      <c r="IL9" t="e">
        <f>AND(#REF!,"AAAAAHq9+/U=")</f>
        <v>#REF!</v>
      </c>
      <c r="IM9" t="e">
        <f>AND(#REF!,"AAAAAHq9+/Y=")</f>
        <v>#REF!</v>
      </c>
      <c r="IN9" t="e">
        <f>AND(#REF!,"AAAAAHq9+/c=")</f>
        <v>#REF!</v>
      </c>
      <c r="IO9" t="e">
        <f>AND(#REF!,"AAAAAHq9+/g=")</f>
        <v>#REF!</v>
      </c>
      <c r="IP9" t="e">
        <f>AND(#REF!,"AAAAAHq9+/k=")</f>
        <v>#REF!</v>
      </c>
      <c r="IQ9" t="e">
        <f>AND(#REF!,"AAAAAHq9+/o=")</f>
        <v>#REF!</v>
      </c>
      <c r="IR9" t="e">
        <f>AND(#REF!,"AAAAAHq9+/s=")</f>
        <v>#REF!</v>
      </c>
      <c r="IS9" t="e">
        <f>AND(#REF!,"AAAAAHq9+/w=")</f>
        <v>#REF!</v>
      </c>
      <c r="IT9" t="e">
        <f>AND(#REF!,"AAAAAHq9+/0=")</f>
        <v>#REF!</v>
      </c>
      <c r="IU9" t="e">
        <f>AND(#REF!,"AAAAAHq9+/4=")</f>
        <v>#REF!</v>
      </c>
      <c r="IV9" t="e">
        <f>AND(#REF!,"AAAAAHq9+/8=")</f>
        <v>#REF!</v>
      </c>
    </row>
    <row r="10" spans="1:256" x14ac:dyDescent="0.25">
      <c r="A10" t="e">
        <f>AND(#REF!,"AAAAAGr/0wA=")</f>
        <v>#REF!</v>
      </c>
      <c r="B10" t="e">
        <f>AND(#REF!,"AAAAAGr/0wE=")</f>
        <v>#REF!</v>
      </c>
      <c r="C10" t="e">
        <f>IF(#REF!,"AAAAAGr/0wI=",0)</f>
        <v>#REF!</v>
      </c>
      <c r="D10" t="e">
        <f>AND(#REF!,"AAAAAGr/0wM=")</f>
        <v>#REF!</v>
      </c>
      <c r="E10" t="e">
        <f>AND(#REF!,"AAAAAGr/0wQ=")</f>
        <v>#REF!</v>
      </c>
      <c r="F10" t="e">
        <f>AND(#REF!,"AAAAAGr/0wU=")</f>
        <v>#REF!</v>
      </c>
      <c r="G10" t="e">
        <f>AND(#REF!,"AAAAAGr/0wY=")</f>
        <v>#REF!</v>
      </c>
      <c r="H10" t="e">
        <f>AND(#REF!,"AAAAAGr/0wc=")</f>
        <v>#REF!</v>
      </c>
      <c r="I10" t="e">
        <f>AND(#REF!,"AAAAAGr/0wg=")</f>
        <v>#REF!</v>
      </c>
      <c r="J10" t="e">
        <f>AND(#REF!,"AAAAAGr/0wk=")</f>
        <v>#REF!</v>
      </c>
      <c r="K10" t="e">
        <f>AND(#REF!,"AAAAAGr/0wo=")</f>
        <v>#REF!</v>
      </c>
      <c r="L10" t="e">
        <f>AND(#REF!,"AAAAAGr/0ws=")</f>
        <v>#REF!</v>
      </c>
      <c r="M10" t="e">
        <f>AND(#REF!,"AAAAAGr/0ww=")</f>
        <v>#REF!</v>
      </c>
      <c r="N10" t="e">
        <f>AND(#REF!,"AAAAAGr/0w0=")</f>
        <v>#REF!</v>
      </c>
      <c r="O10" t="e">
        <f>AND(#REF!,"AAAAAGr/0w4=")</f>
        <v>#REF!</v>
      </c>
      <c r="P10" t="e">
        <f>AND(#REF!,"AAAAAGr/0w8=")</f>
        <v>#REF!</v>
      </c>
      <c r="Q10" t="e">
        <f>AND(#REF!,"AAAAAGr/0xA=")</f>
        <v>#REF!</v>
      </c>
      <c r="R10" t="e">
        <f>AND(#REF!,"AAAAAGr/0xE=")</f>
        <v>#REF!</v>
      </c>
      <c r="S10" t="e">
        <f>AND(#REF!,"AAAAAGr/0xI=")</f>
        <v>#REF!</v>
      </c>
      <c r="T10" t="e">
        <f>AND(#REF!,"AAAAAGr/0xM=")</f>
        <v>#REF!</v>
      </c>
      <c r="U10" t="e">
        <f>AND(#REF!,"AAAAAGr/0xQ=")</f>
        <v>#REF!</v>
      </c>
      <c r="V10" t="e">
        <f>AND(#REF!,"AAAAAGr/0xU=")</f>
        <v>#REF!</v>
      </c>
      <c r="W10" t="e">
        <f>AND(#REF!,"AAAAAGr/0xY=")</f>
        <v>#REF!</v>
      </c>
      <c r="X10" t="e">
        <f>AND(#REF!,"AAAAAGr/0xc=")</f>
        <v>#REF!</v>
      </c>
      <c r="Y10" t="e">
        <f>AND(#REF!,"AAAAAGr/0xg=")</f>
        <v>#REF!</v>
      </c>
      <c r="Z10" t="e">
        <f>AND(#REF!,"AAAAAGr/0xk=")</f>
        <v>#REF!</v>
      </c>
      <c r="AA10" t="e">
        <f>AND(#REF!,"AAAAAGr/0xo=")</f>
        <v>#REF!</v>
      </c>
      <c r="AB10" t="e">
        <f>AND(#REF!,"AAAAAGr/0xs=")</f>
        <v>#REF!</v>
      </c>
      <c r="AC10" t="e">
        <f>AND(#REF!,"AAAAAGr/0xw=")</f>
        <v>#REF!</v>
      </c>
      <c r="AD10" t="e">
        <f>AND(#REF!,"AAAAAGr/0x0=")</f>
        <v>#REF!</v>
      </c>
      <c r="AE10" t="e">
        <f>AND(#REF!,"AAAAAGr/0x4=")</f>
        <v>#REF!</v>
      </c>
      <c r="AF10" t="e">
        <f>AND(#REF!,"AAAAAGr/0x8=")</f>
        <v>#REF!</v>
      </c>
      <c r="AG10" t="e">
        <f>AND(#REF!,"AAAAAGr/0yA=")</f>
        <v>#REF!</v>
      </c>
      <c r="AH10" t="e">
        <f>AND(#REF!,"AAAAAGr/0yE=")</f>
        <v>#REF!</v>
      </c>
      <c r="AI10" t="e">
        <f>AND(#REF!,"AAAAAGr/0yI=")</f>
        <v>#REF!</v>
      </c>
      <c r="AJ10" t="e">
        <f>AND(#REF!,"AAAAAGr/0yM=")</f>
        <v>#REF!</v>
      </c>
      <c r="AK10" t="e">
        <f>AND(#REF!,"AAAAAGr/0yQ=")</f>
        <v>#REF!</v>
      </c>
      <c r="AL10" t="e">
        <f>AND(#REF!,"AAAAAGr/0yU=")</f>
        <v>#REF!</v>
      </c>
      <c r="AM10" t="e">
        <f>AND(#REF!,"AAAAAGr/0yY=")</f>
        <v>#REF!</v>
      </c>
      <c r="AN10" t="e">
        <f>AND(#REF!,"AAAAAGr/0yc=")</f>
        <v>#REF!</v>
      </c>
      <c r="AO10" t="e">
        <f>AND(#REF!,"AAAAAGr/0yg=")</f>
        <v>#REF!</v>
      </c>
      <c r="AP10" t="e">
        <f>AND(#REF!,"AAAAAGr/0yk=")</f>
        <v>#REF!</v>
      </c>
      <c r="AQ10" t="e">
        <f>AND(#REF!,"AAAAAGr/0yo=")</f>
        <v>#REF!</v>
      </c>
      <c r="AR10" t="e">
        <f>AND(#REF!,"AAAAAGr/0ys=")</f>
        <v>#REF!</v>
      </c>
      <c r="AS10" t="e">
        <f>AND(#REF!,"AAAAAGr/0yw=")</f>
        <v>#REF!</v>
      </c>
      <c r="AT10" t="e">
        <f>AND(#REF!,"AAAAAGr/0y0=")</f>
        <v>#REF!</v>
      </c>
      <c r="AU10" t="e">
        <f>AND(#REF!,"AAAAAGr/0y4=")</f>
        <v>#REF!</v>
      </c>
      <c r="AV10" t="e">
        <f>AND(#REF!,"AAAAAGr/0y8=")</f>
        <v>#REF!</v>
      </c>
      <c r="AW10" t="e">
        <f>AND(#REF!,"AAAAAGr/0zA=")</f>
        <v>#REF!</v>
      </c>
      <c r="AX10" t="e">
        <f>AND(#REF!,"AAAAAGr/0zE=")</f>
        <v>#REF!</v>
      </c>
      <c r="AY10" t="e">
        <f>AND(#REF!,"AAAAAGr/0zI=")</f>
        <v>#REF!</v>
      </c>
      <c r="AZ10" t="e">
        <f>AND(#REF!,"AAAAAGr/0zM=")</f>
        <v>#REF!</v>
      </c>
      <c r="BA10" t="e">
        <f>AND(#REF!,"AAAAAGr/0zQ=")</f>
        <v>#REF!</v>
      </c>
      <c r="BB10" t="e">
        <f>AND(#REF!,"AAAAAGr/0zU=")</f>
        <v>#REF!</v>
      </c>
      <c r="BC10" t="e">
        <f>AND(#REF!,"AAAAAGr/0zY=")</f>
        <v>#REF!</v>
      </c>
      <c r="BD10" t="e">
        <f>AND(#REF!,"AAAAAGr/0zc=")</f>
        <v>#REF!</v>
      </c>
      <c r="BE10" t="e">
        <f>AND(#REF!,"AAAAAGr/0zg=")</f>
        <v>#REF!</v>
      </c>
      <c r="BF10" t="e">
        <f>AND(#REF!,"AAAAAGr/0zk=")</f>
        <v>#REF!</v>
      </c>
      <c r="BG10" t="e">
        <f>AND(#REF!,"AAAAAGr/0zo=")</f>
        <v>#REF!</v>
      </c>
      <c r="BH10" t="e">
        <f>AND(#REF!,"AAAAAGr/0zs=")</f>
        <v>#REF!</v>
      </c>
      <c r="BI10" t="e">
        <f>AND(#REF!,"AAAAAGr/0zw=")</f>
        <v>#REF!</v>
      </c>
      <c r="BJ10" t="e">
        <f>AND(#REF!,"AAAAAGr/0z0=")</f>
        <v>#REF!</v>
      </c>
      <c r="BK10" t="e">
        <f>AND(#REF!,"AAAAAGr/0z4=")</f>
        <v>#REF!</v>
      </c>
      <c r="BL10" t="e">
        <f>AND(#REF!,"AAAAAGr/0z8=")</f>
        <v>#REF!</v>
      </c>
      <c r="BM10" t="e">
        <f>AND(#REF!,"AAAAAGr/00A=")</f>
        <v>#REF!</v>
      </c>
      <c r="BN10" t="e">
        <f>AND(#REF!,"AAAAAGr/00E=")</f>
        <v>#REF!</v>
      </c>
      <c r="BO10" t="e">
        <f>AND(#REF!,"AAAAAGr/00I=")</f>
        <v>#REF!</v>
      </c>
      <c r="BP10" t="e">
        <f>AND(#REF!,"AAAAAGr/00M=")</f>
        <v>#REF!</v>
      </c>
      <c r="BQ10" t="e">
        <f>AND(#REF!,"AAAAAGr/00Q=")</f>
        <v>#REF!</v>
      </c>
      <c r="BR10" t="e">
        <f>AND(#REF!,"AAAAAGr/00U=")</f>
        <v>#REF!</v>
      </c>
      <c r="BS10" t="e">
        <f>AND(#REF!,"AAAAAGr/00Y=")</f>
        <v>#REF!</v>
      </c>
      <c r="BT10" t="e">
        <f>AND(#REF!,"AAAAAGr/00c=")</f>
        <v>#REF!</v>
      </c>
      <c r="BU10" t="e">
        <f>AND(#REF!,"AAAAAGr/00g=")</f>
        <v>#REF!</v>
      </c>
      <c r="BV10" t="e">
        <f>AND(#REF!,"AAAAAGr/00k=")</f>
        <v>#REF!</v>
      </c>
      <c r="BW10" t="e">
        <f>AND(#REF!,"AAAAAGr/00o=")</f>
        <v>#REF!</v>
      </c>
      <c r="BX10" t="e">
        <f>AND(#REF!,"AAAAAGr/00s=")</f>
        <v>#REF!</v>
      </c>
      <c r="BY10" t="e">
        <f>AND(#REF!,"AAAAAGr/00w=")</f>
        <v>#REF!</v>
      </c>
      <c r="BZ10" t="e">
        <f>AND(#REF!,"AAAAAGr/000=")</f>
        <v>#REF!</v>
      </c>
      <c r="CA10" t="e">
        <f>AND(#REF!,"AAAAAGr/004=")</f>
        <v>#REF!</v>
      </c>
      <c r="CB10" t="e">
        <f>AND(#REF!,"AAAAAGr/008=")</f>
        <v>#REF!</v>
      </c>
      <c r="CC10" t="e">
        <f>AND(#REF!,"AAAAAGr/01A=")</f>
        <v>#REF!</v>
      </c>
      <c r="CD10" t="e">
        <f>AND(#REF!,"AAAAAGr/01E=")</f>
        <v>#REF!</v>
      </c>
      <c r="CE10" t="e">
        <f>AND(#REF!,"AAAAAGr/01I=")</f>
        <v>#REF!</v>
      </c>
      <c r="CF10" t="e">
        <f>AND(#REF!,"AAAAAGr/01M=")</f>
        <v>#REF!</v>
      </c>
      <c r="CG10" t="e">
        <f>AND(#REF!,"AAAAAGr/01Q=")</f>
        <v>#REF!</v>
      </c>
      <c r="CH10" t="e">
        <f>AND(#REF!,"AAAAAGr/01U=")</f>
        <v>#REF!</v>
      </c>
      <c r="CI10" t="e">
        <f>AND(#REF!,"AAAAAGr/01Y=")</f>
        <v>#REF!</v>
      </c>
      <c r="CJ10" t="e">
        <f>AND(#REF!,"AAAAAGr/01c=")</f>
        <v>#REF!</v>
      </c>
      <c r="CK10" t="e">
        <f>AND(#REF!,"AAAAAGr/01g=")</f>
        <v>#REF!</v>
      </c>
      <c r="CL10" t="e">
        <f>AND(#REF!,"AAAAAGr/01k=")</f>
        <v>#REF!</v>
      </c>
      <c r="CM10" t="e">
        <f>AND(#REF!,"AAAAAGr/01o=")</f>
        <v>#REF!</v>
      </c>
      <c r="CN10" t="e">
        <f>AND(#REF!,"AAAAAGr/01s=")</f>
        <v>#REF!</v>
      </c>
      <c r="CO10" t="e">
        <f>AND(#REF!,"AAAAAGr/01w=")</f>
        <v>#REF!</v>
      </c>
      <c r="CP10" t="e">
        <f>AND(#REF!,"AAAAAGr/010=")</f>
        <v>#REF!</v>
      </c>
      <c r="CQ10" t="e">
        <f>AND(#REF!,"AAAAAGr/014=")</f>
        <v>#REF!</v>
      </c>
      <c r="CR10" t="e">
        <f>AND(#REF!,"AAAAAGr/018=")</f>
        <v>#REF!</v>
      </c>
      <c r="CS10" t="e">
        <f>AND(#REF!,"AAAAAGr/02A=")</f>
        <v>#REF!</v>
      </c>
      <c r="CT10" t="e">
        <f>AND(#REF!,"AAAAAGr/02E=")</f>
        <v>#REF!</v>
      </c>
      <c r="CU10" t="e">
        <f>AND(#REF!,"AAAAAGr/02I=")</f>
        <v>#REF!</v>
      </c>
      <c r="CV10" t="e">
        <f>AND(#REF!,"AAAAAGr/02M=")</f>
        <v>#REF!</v>
      </c>
      <c r="CW10" t="e">
        <f>AND(#REF!,"AAAAAGr/02Q=")</f>
        <v>#REF!</v>
      </c>
      <c r="CX10" t="e">
        <f>AND(#REF!,"AAAAAGr/02U=")</f>
        <v>#REF!</v>
      </c>
      <c r="CY10" t="e">
        <f>AND(#REF!,"AAAAAGr/02Y=")</f>
        <v>#REF!</v>
      </c>
      <c r="CZ10" t="e">
        <f>AND(#REF!,"AAAAAGr/02c=")</f>
        <v>#REF!</v>
      </c>
      <c r="DA10" t="e">
        <f>AND(#REF!,"AAAAAGr/02g=")</f>
        <v>#REF!</v>
      </c>
      <c r="DB10" t="e">
        <f>AND(#REF!,"AAAAAGr/02k=")</f>
        <v>#REF!</v>
      </c>
      <c r="DC10" t="e">
        <f>AND(#REF!,"AAAAAGr/02o=")</f>
        <v>#REF!</v>
      </c>
      <c r="DD10" t="e">
        <f>AND(#REF!,"AAAAAGr/02s=")</f>
        <v>#REF!</v>
      </c>
      <c r="DE10" t="e">
        <f>AND(#REF!,"AAAAAGr/02w=")</f>
        <v>#REF!</v>
      </c>
      <c r="DF10" t="e">
        <f>AND(#REF!,"AAAAAGr/020=")</f>
        <v>#REF!</v>
      </c>
      <c r="DG10" t="e">
        <f>AND(#REF!,"AAAAAGr/024=")</f>
        <v>#REF!</v>
      </c>
      <c r="DH10" t="e">
        <f>AND(#REF!,"AAAAAGr/028=")</f>
        <v>#REF!</v>
      </c>
      <c r="DI10" t="e">
        <f>AND(#REF!,"AAAAAGr/03A=")</f>
        <v>#REF!</v>
      </c>
      <c r="DJ10" t="e">
        <f>AND(#REF!,"AAAAAGr/03E=")</f>
        <v>#REF!</v>
      </c>
      <c r="DK10" t="e">
        <f>AND(#REF!,"AAAAAGr/03I=")</f>
        <v>#REF!</v>
      </c>
      <c r="DL10" t="e">
        <f>AND(#REF!,"AAAAAGr/03M=")</f>
        <v>#REF!</v>
      </c>
      <c r="DM10" t="e">
        <f>AND(#REF!,"AAAAAGr/03Q=")</f>
        <v>#REF!</v>
      </c>
      <c r="DN10" t="e">
        <f>AND(#REF!,"AAAAAGr/03U=")</f>
        <v>#REF!</v>
      </c>
      <c r="DO10" t="e">
        <f>AND(#REF!,"AAAAAGr/03Y=")</f>
        <v>#REF!</v>
      </c>
      <c r="DP10" t="e">
        <f>AND(#REF!,"AAAAAGr/03c=")</f>
        <v>#REF!</v>
      </c>
      <c r="DQ10" t="e">
        <f>AND(#REF!,"AAAAAGr/03g=")</f>
        <v>#REF!</v>
      </c>
      <c r="DR10" t="e">
        <f>AND(#REF!,"AAAAAGr/03k=")</f>
        <v>#REF!</v>
      </c>
      <c r="DS10" t="e">
        <f>AND(#REF!,"AAAAAGr/03o=")</f>
        <v>#REF!</v>
      </c>
      <c r="DT10" t="e">
        <f>AND(#REF!,"AAAAAGr/03s=")</f>
        <v>#REF!</v>
      </c>
      <c r="DU10" t="e">
        <f>AND(#REF!,"AAAAAGr/03w=")</f>
        <v>#REF!</v>
      </c>
      <c r="DV10" t="e">
        <f>AND(#REF!,"AAAAAGr/030=")</f>
        <v>#REF!</v>
      </c>
      <c r="DW10" t="e">
        <f>AND(#REF!,"AAAAAGr/034=")</f>
        <v>#REF!</v>
      </c>
      <c r="DX10" t="e">
        <f>AND(#REF!,"AAAAAGr/038=")</f>
        <v>#REF!</v>
      </c>
      <c r="DY10" t="e">
        <f>AND(#REF!,"AAAAAGr/04A=")</f>
        <v>#REF!</v>
      </c>
      <c r="DZ10" t="e">
        <f>AND(#REF!,"AAAAAGr/04E=")</f>
        <v>#REF!</v>
      </c>
      <c r="EA10" t="e">
        <f>AND(#REF!,"AAAAAGr/04I=")</f>
        <v>#REF!</v>
      </c>
      <c r="EB10" t="e">
        <f>AND(#REF!,"AAAAAGr/04M=")</f>
        <v>#REF!</v>
      </c>
      <c r="EC10" t="e">
        <f>AND(#REF!,"AAAAAGr/04Q=")</f>
        <v>#REF!</v>
      </c>
      <c r="ED10" t="e">
        <f>AND(#REF!,"AAAAAGr/04U=")</f>
        <v>#REF!</v>
      </c>
      <c r="EE10" t="e">
        <f>AND(#REF!,"AAAAAGr/04Y=")</f>
        <v>#REF!</v>
      </c>
      <c r="EF10" t="e">
        <f>AND(#REF!,"AAAAAGr/04c=")</f>
        <v>#REF!</v>
      </c>
      <c r="EG10" t="e">
        <f>AND(#REF!,"AAAAAGr/04g=")</f>
        <v>#REF!</v>
      </c>
      <c r="EH10" t="e">
        <f>AND(#REF!,"AAAAAGr/04k=")</f>
        <v>#REF!</v>
      </c>
      <c r="EI10" t="e">
        <f>AND(#REF!,"AAAAAGr/04o=")</f>
        <v>#REF!</v>
      </c>
      <c r="EJ10" t="e">
        <f>AND(#REF!,"AAAAAGr/04s=")</f>
        <v>#REF!</v>
      </c>
      <c r="EK10" t="e">
        <f>AND(#REF!,"AAAAAGr/04w=")</f>
        <v>#REF!</v>
      </c>
      <c r="EL10" t="e">
        <f>AND(#REF!,"AAAAAGr/040=")</f>
        <v>#REF!</v>
      </c>
      <c r="EM10" t="e">
        <f>AND(#REF!,"AAAAAGr/044=")</f>
        <v>#REF!</v>
      </c>
      <c r="EN10" t="e">
        <f>AND(#REF!,"AAAAAGr/048=")</f>
        <v>#REF!</v>
      </c>
      <c r="EO10" t="e">
        <f>AND(#REF!,"AAAAAGr/05A=")</f>
        <v>#REF!</v>
      </c>
      <c r="EP10" t="e">
        <f>AND(#REF!,"AAAAAGr/05E=")</f>
        <v>#REF!</v>
      </c>
      <c r="EQ10" t="e">
        <f>AND(#REF!,"AAAAAGr/05I=")</f>
        <v>#REF!</v>
      </c>
      <c r="ER10" t="e">
        <f>AND(#REF!,"AAAAAGr/05M=")</f>
        <v>#REF!</v>
      </c>
      <c r="ES10" t="e">
        <f>AND(#REF!,"AAAAAGr/05Q=")</f>
        <v>#REF!</v>
      </c>
      <c r="ET10" t="e">
        <f>AND(#REF!,"AAAAAGr/05U=")</f>
        <v>#REF!</v>
      </c>
      <c r="EU10" t="e">
        <f>AND(#REF!,"AAAAAGr/05Y=")</f>
        <v>#REF!</v>
      </c>
      <c r="EV10" t="e">
        <f>AND(#REF!,"AAAAAGr/05c=")</f>
        <v>#REF!</v>
      </c>
      <c r="EW10" t="e">
        <f>AND(#REF!,"AAAAAGr/05g=")</f>
        <v>#REF!</v>
      </c>
      <c r="EX10" t="e">
        <f>AND(#REF!,"AAAAAGr/05k=")</f>
        <v>#REF!</v>
      </c>
      <c r="EY10" t="e">
        <f>AND(#REF!,"AAAAAGr/05o=")</f>
        <v>#REF!</v>
      </c>
      <c r="EZ10" t="e">
        <f>AND(#REF!,"AAAAAGr/05s=")</f>
        <v>#REF!</v>
      </c>
      <c r="FA10" t="e">
        <f>AND(#REF!,"AAAAAGr/05w=")</f>
        <v>#REF!</v>
      </c>
      <c r="FB10" t="e">
        <f>AND(#REF!,"AAAAAGr/050=")</f>
        <v>#REF!</v>
      </c>
      <c r="FC10" t="e">
        <f>AND(#REF!,"AAAAAGr/054=")</f>
        <v>#REF!</v>
      </c>
      <c r="FD10" t="e">
        <f>AND(#REF!,"AAAAAGr/058=")</f>
        <v>#REF!</v>
      </c>
      <c r="FE10" t="e">
        <f>AND(#REF!,"AAAAAGr/06A=")</f>
        <v>#REF!</v>
      </c>
      <c r="FF10" t="e">
        <f>AND(#REF!,"AAAAAGr/06E=")</f>
        <v>#REF!</v>
      </c>
      <c r="FG10" t="e">
        <f>AND(#REF!,"AAAAAGr/06I=")</f>
        <v>#REF!</v>
      </c>
      <c r="FH10" t="e">
        <f>AND(#REF!,"AAAAAGr/06M=")</f>
        <v>#REF!</v>
      </c>
      <c r="FI10" t="e">
        <f>AND(#REF!,"AAAAAGr/06Q=")</f>
        <v>#REF!</v>
      </c>
      <c r="FJ10" t="e">
        <f>AND(#REF!,"AAAAAGr/06U=")</f>
        <v>#REF!</v>
      </c>
      <c r="FK10" t="e">
        <f>AND(#REF!,"AAAAAGr/06Y=")</f>
        <v>#REF!</v>
      </c>
      <c r="FL10" t="e">
        <f>AND(#REF!,"AAAAAGr/06c=")</f>
        <v>#REF!</v>
      </c>
      <c r="FM10" t="e">
        <f>AND(#REF!,"AAAAAGr/06g=")</f>
        <v>#REF!</v>
      </c>
      <c r="FN10" t="e">
        <f>AND(#REF!,"AAAAAGr/06k=")</f>
        <v>#REF!</v>
      </c>
      <c r="FO10" t="e">
        <f>AND(#REF!,"AAAAAGr/06o=")</f>
        <v>#REF!</v>
      </c>
      <c r="FP10" t="e">
        <f>AND(#REF!,"AAAAAGr/06s=")</f>
        <v>#REF!</v>
      </c>
      <c r="FQ10" t="e">
        <f>AND(#REF!,"AAAAAGr/06w=")</f>
        <v>#REF!</v>
      </c>
      <c r="FR10" t="e">
        <f>AND(#REF!,"AAAAAGr/060=")</f>
        <v>#REF!</v>
      </c>
      <c r="FS10" t="e">
        <f>AND(#REF!,"AAAAAGr/064=")</f>
        <v>#REF!</v>
      </c>
      <c r="FT10" t="e">
        <f>AND(#REF!,"AAAAAGr/068=")</f>
        <v>#REF!</v>
      </c>
      <c r="FU10" t="e">
        <f>AND(#REF!,"AAAAAGr/07A=")</f>
        <v>#REF!</v>
      </c>
      <c r="FV10" t="e">
        <f>AND(#REF!,"AAAAAGr/07E=")</f>
        <v>#REF!</v>
      </c>
      <c r="FW10" t="e">
        <f>AND(#REF!,"AAAAAGr/07I=")</f>
        <v>#REF!</v>
      </c>
      <c r="FX10" t="e">
        <f>AND(#REF!,"AAAAAGr/07M=")</f>
        <v>#REF!</v>
      </c>
      <c r="FY10" t="e">
        <f>AND(#REF!,"AAAAAGr/07Q=")</f>
        <v>#REF!</v>
      </c>
      <c r="FZ10" t="e">
        <f>AND(#REF!,"AAAAAGr/07U=")</f>
        <v>#REF!</v>
      </c>
      <c r="GA10" t="e">
        <f>AND(#REF!,"AAAAAGr/07Y=")</f>
        <v>#REF!</v>
      </c>
      <c r="GB10" t="e">
        <f>AND(#REF!,"AAAAAGr/07c=")</f>
        <v>#REF!</v>
      </c>
      <c r="GC10" t="e">
        <f>AND(#REF!,"AAAAAGr/07g=")</f>
        <v>#REF!</v>
      </c>
      <c r="GD10" t="e">
        <f>AND(#REF!,"AAAAAGr/07k=")</f>
        <v>#REF!</v>
      </c>
      <c r="GE10" t="e">
        <f>AND(#REF!,"AAAAAGr/07o=")</f>
        <v>#REF!</v>
      </c>
      <c r="GF10" t="e">
        <f>AND(#REF!,"AAAAAGr/07s=")</f>
        <v>#REF!</v>
      </c>
      <c r="GG10" t="e">
        <f>AND(#REF!,"AAAAAGr/07w=")</f>
        <v>#REF!</v>
      </c>
      <c r="GH10" t="e">
        <f>AND(#REF!,"AAAAAGr/070=")</f>
        <v>#REF!</v>
      </c>
      <c r="GI10" t="e">
        <f>AND(#REF!,"AAAAAGr/074=")</f>
        <v>#REF!</v>
      </c>
      <c r="GJ10" t="e">
        <f>AND(#REF!,"AAAAAGr/078=")</f>
        <v>#REF!</v>
      </c>
      <c r="GK10" t="e">
        <f>AND(#REF!,"AAAAAGr/08A=")</f>
        <v>#REF!</v>
      </c>
      <c r="GL10" t="e">
        <f>AND(#REF!,"AAAAAGr/08E=")</f>
        <v>#REF!</v>
      </c>
      <c r="GM10" t="e">
        <f>AND(#REF!,"AAAAAGr/08I=")</f>
        <v>#REF!</v>
      </c>
      <c r="GN10" t="e">
        <f>AND(#REF!,"AAAAAGr/08M=")</f>
        <v>#REF!</v>
      </c>
      <c r="GO10" t="e">
        <f>AND(#REF!,"AAAAAGr/08Q=")</f>
        <v>#REF!</v>
      </c>
      <c r="GP10" t="e">
        <f>AND(#REF!,"AAAAAGr/08U=")</f>
        <v>#REF!</v>
      </c>
      <c r="GQ10" t="e">
        <f>AND(#REF!,"AAAAAGr/08Y=")</f>
        <v>#REF!</v>
      </c>
      <c r="GR10" t="e">
        <f>AND(#REF!,"AAAAAGr/08c=")</f>
        <v>#REF!</v>
      </c>
      <c r="GS10" t="e">
        <f>AND(#REF!,"AAAAAGr/08g=")</f>
        <v>#REF!</v>
      </c>
      <c r="GT10" t="e">
        <f>AND(#REF!,"AAAAAGr/08k=")</f>
        <v>#REF!</v>
      </c>
      <c r="GU10" t="e">
        <f>AND(#REF!,"AAAAAGr/08o=")</f>
        <v>#REF!</v>
      </c>
      <c r="GV10" t="e">
        <f>AND(#REF!,"AAAAAGr/08s=")</f>
        <v>#REF!</v>
      </c>
      <c r="GW10" t="e">
        <f>AND(#REF!,"AAAAAGr/08w=")</f>
        <v>#REF!</v>
      </c>
      <c r="GX10" t="e">
        <f>AND(#REF!,"AAAAAGr/080=")</f>
        <v>#REF!</v>
      </c>
      <c r="GY10" t="e">
        <f>AND(#REF!,"AAAAAGr/084=")</f>
        <v>#REF!</v>
      </c>
      <c r="GZ10" t="e">
        <f>AND(#REF!,"AAAAAGr/088=")</f>
        <v>#REF!</v>
      </c>
      <c r="HA10" t="e">
        <f>AND(#REF!,"AAAAAGr/09A=")</f>
        <v>#REF!</v>
      </c>
      <c r="HB10" t="e">
        <f>AND(#REF!,"AAAAAGr/09E=")</f>
        <v>#REF!</v>
      </c>
      <c r="HC10" t="e">
        <f>AND(#REF!,"AAAAAGr/09I=")</f>
        <v>#REF!</v>
      </c>
      <c r="HD10" t="e">
        <f>AND(#REF!,"AAAAAGr/09M=")</f>
        <v>#REF!</v>
      </c>
      <c r="HE10" t="e">
        <f>AND(#REF!,"AAAAAGr/09Q=")</f>
        <v>#REF!</v>
      </c>
      <c r="HF10" t="e">
        <f>AND(#REF!,"AAAAAGr/09U=")</f>
        <v>#REF!</v>
      </c>
      <c r="HG10" t="e">
        <f>AND(#REF!,"AAAAAGr/09Y=")</f>
        <v>#REF!</v>
      </c>
      <c r="HH10" t="e">
        <f>AND(#REF!,"AAAAAGr/09c=")</f>
        <v>#REF!</v>
      </c>
      <c r="HI10" t="e">
        <f>AND(#REF!,"AAAAAGr/09g=")</f>
        <v>#REF!</v>
      </c>
      <c r="HJ10" t="e">
        <f>AND(#REF!,"AAAAAGr/09k=")</f>
        <v>#REF!</v>
      </c>
      <c r="HK10" t="e">
        <f>AND(#REF!,"AAAAAGr/09o=")</f>
        <v>#REF!</v>
      </c>
      <c r="HL10" t="e">
        <f>AND(#REF!,"AAAAAGr/09s=")</f>
        <v>#REF!</v>
      </c>
      <c r="HM10" t="e">
        <f>AND(#REF!,"AAAAAGr/09w=")</f>
        <v>#REF!</v>
      </c>
      <c r="HN10" t="e">
        <f>AND(#REF!,"AAAAAGr/090=")</f>
        <v>#REF!</v>
      </c>
      <c r="HO10" t="e">
        <f>AND(#REF!,"AAAAAGr/094=")</f>
        <v>#REF!</v>
      </c>
      <c r="HP10" t="e">
        <f>AND(#REF!,"AAAAAGr/098=")</f>
        <v>#REF!</v>
      </c>
      <c r="HQ10" t="e">
        <f>AND(#REF!,"AAAAAGr/0+A=")</f>
        <v>#REF!</v>
      </c>
      <c r="HR10" t="e">
        <f>AND(#REF!,"AAAAAGr/0+E=")</f>
        <v>#REF!</v>
      </c>
      <c r="HS10" t="e">
        <f>AND(#REF!,"AAAAAGr/0+I=")</f>
        <v>#REF!</v>
      </c>
      <c r="HT10" t="e">
        <f>AND(#REF!,"AAAAAGr/0+M=")</f>
        <v>#REF!</v>
      </c>
      <c r="HU10" t="e">
        <f>AND(#REF!,"AAAAAGr/0+Q=")</f>
        <v>#REF!</v>
      </c>
      <c r="HV10" t="e">
        <f>AND(#REF!,"AAAAAGr/0+U=")</f>
        <v>#REF!</v>
      </c>
      <c r="HW10" t="e">
        <f>AND(#REF!,"AAAAAGr/0+Y=")</f>
        <v>#REF!</v>
      </c>
      <c r="HX10" t="e">
        <f>AND(#REF!,"AAAAAGr/0+c=")</f>
        <v>#REF!</v>
      </c>
      <c r="HY10" t="e">
        <f>AND(#REF!,"AAAAAGr/0+g=")</f>
        <v>#REF!</v>
      </c>
      <c r="HZ10" t="e">
        <f>AND(#REF!,"AAAAAGr/0+k=")</f>
        <v>#REF!</v>
      </c>
      <c r="IA10" t="e">
        <f>AND(#REF!,"AAAAAGr/0+o=")</f>
        <v>#REF!</v>
      </c>
      <c r="IB10" t="e">
        <f>AND(#REF!,"AAAAAGr/0+s=")</f>
        <v>#REF!</v>
      </c>
      <c r="IC10" t="e">
        <f>AND(#REF!,"AAAAAGr/0+w=")</f>
        <v>#REF!</v>
      </c>
      <c r="ID10" t="e">
        <f>AND(#REF!,"AAAAAGr/0+0=")</f>
        <v>#REF!</v>
      </c>
      <c r="IE10" t="e">
        <f>AND(#REF!,"AAAAAGr/0+4=")</f>
        <v>#REF!</v>
      </c>
      <c r="IF10" t="e">
        <f>AND(#REF!,"AAAAAGr/0+8=")</f>
        <v>#REF!</v>
      </c>
      <c r="IG10" t="e">
        <f>AND(#REF!,"AAAAAGr/0/A=")</f>
        <v>#REF!</v>
      </c>
      <c r="IH10" t="e">
        <f>AND(#REF!,"AAAAAGr/0/E=")</f>
        <v>#REF!</v>
      </c>
      <c r="II10" t="e">
        <f>AND(#REF!,"AAAAAGr/0/I=")</f>
        <v>#REF!</v>
      </c>
      <c r="IJ10" t="e">
        <f>AND(#REF!,"AAAAAGr/0/M=")</f>
        <v>#REF!</v>
      </c>
      <c r="IK10" t="e">
        <f>AND(#REF!,"AAAAAGr/0/Q=")</f>
        <v>#REF!</v>
      </c>
      <c r="IL10" t="e">
        <f>AND(#REF!,"AAAAAGr/0/U=")</f>
        <v>#REF!</v>
      </c>
      <c r="IM10" t="e">
        <f>AND(#REF!,"AAAAAGr/0/Y=")</f>
        <v>#REF!</v>
      </c>
      <c r="IN10" t="e">
        <f>AND(#REF!,"AAAAAGr/0/c=")</f>
        <v>#REF!</v>
      </c>
      <c r="IO10" t="e">
        <f>AND(#REF!,"AAAAAGr/0/g=")</f>
        <v>#REF!</v>
      </c>
      <c r="IP10" t="e">
        <f>AND(#REF!,"AAAAAGr/0/k=")</f>
        <v>#REF!</v>
      </c>
      <c r="IQ10" t="e">
        <f>AND(#REF!,"AAAAAGr/0/o=")</f>
        <v>#REF!</v>
      </c>
      <c r="IR10" t="e">
        <f>AND(#REF!,"AAAAAGr/0/s=")</f>
        <v>#REF!</v>
      </c>
      <c r="IS10" t="e">
        <f>AND(#REF!,"AAAAAGr/0/w=")</f>
        <v>#REF!</v>
      </c>
      <c r="IT10" t="e">
        <f>AND(#REF!,"AAAAAGr/0/0=")</f>
        <v>#REF!</v>
      </c>
      <c r="IU10" t="e">
        <f>AND(#REF!,"AAAAAGr/0/4=")</f>
        <v>#REF!</v>
      </c>
      <c r="IV10" t="e">
        <f>AND(#REF!,"AAAAAGr/0/8=")</f>
        <v>#REF!</v>
      </c>
    </row>
    <row r="11" spans="1:256" x14ac:dyDescent="0.25">
      <c r="A11" t="e">
        <f>AND(#REF!,"AAAAAH/1/gA=")</f>
        <v>#REF!</v>
      </c>
      <c r="B11" t="e">
        <f>AND(#REF!,"AAAAAH/1/gE=")</f>
        <v>#REF!</v>
      </c>
      <c r="C11" t="e">
        <f>AND(#REF!,"AAAAAH/1/gI=")</f>
        <v>#REF!</v>
      </c>
      <c r="D11" t="e">
        <f>IF(#REF!,"AAAAAH/1/gM=",0)</f>
        <v>#REF!</v>
      </c>
      <c r="E11" t="e">
        <f>AND(#REF!,"AAAAAH/1/gQ=")</f>
        <v>#REF!</v>
      </c>
      <c r="F11" t="e">
        <f>AND(#REF!,"AAAAAH/1/gU=")</f>
        <v>#REF!</v>
      </c>
      <c r="G11" t="e">
        <f>AND(#REF!,"AAAAAH/1/gY=")</f>
        <v>#REF!</v>
      </c>
      <c r="H11" t="e">
        <f>AND(#REF!,"AAAAAH/1/gc=")</f>
        <v>#REF!</v>
      </c>
      <c r="I11" t="e">
        <f>AND(#REF!,"AAAAAH/1/gg=")</f>
        <v>#REF!</v>
      </c>
      <c r="J11" t="e">
        <f>AND(#REF!,"AAAAAH/1/gk=")</f>
        <v>#REF!</v>
      </c>
      <c r="K11" t="e">
        <f>AND(#REF!,"AAAAAH/1/go=")</f>
        <v>#REF!</v>
      </c>
      <c r="L11" t="e">
        <f>AND(#REF!,"AAAAAH/1/gs=")</f>
        <v>#REF!</v>
      </c>
      <c r="M11" t="e">
        <f>AND(#REF!,"AAAAAH/1/gw=")</f>
        <v>#REF!</v>
      </c>
      <c r="N11" t="e">
        <f>AND(#REF!,"AAAAAH/1/g0=")</f>
        <v>#REF!</v>
      </c>
      <c r="O11" t="e">
        <f>AND(#REF!,"AAAAAH/1/g4=")</f>
        <v>#REF!</v>
      </c>
      <c r="P11" t="e">
        <f>AND(#REF!,"AAAAAH/1/g8=")</f>
        <v>#REF!</v>
      </c>
      <c r="Q11" t="e">
        <f>AND(#REF!,"AAAAAH/1/hA=")</f>
        <v>#REF!</v>
      </c>
      <c r="R11" t="e">
        <f>AND(#REF!,"AAAAAH/1/hE=")</f>
        <v>#REF!</v>
      </c>
      <c r="S11" t="e">
        <f>AND(#REF!,"AAAAAH/1/hI=")</f>
        <v>#REF!</v>
      </c>
      <c r="T11" t="e">
        <f>AND(#REF!,"AAAAAH/1/hM=")</f>
        <v>#REF!</v>
      </c>
      <c r="U11" t="e">
        <f>AND(#REF!,"AAAAAH/1/hQ=")</f>
        <v>#REF!</v>
      </c>
      <c r="V11" t="e">
        <f>AND(#REF!,"AAAAAH/1/hU=")</f>
        <v>#REF!</v>
      </c>
      <c r="W11" t="e">
        <f>AND(#REF!,"AAAAAH/1/hY=")</f>
        <v>#REF!</v>
      </c>
      <c r="X11" t="e">
        <f>AND(#REF!,"AAAAAH/1/hc=")</f>
        <v>#REF!</v>
      </c>
      <c r="Y11" t="e">
        <f>AND(#REF!,"AAAAAH/1/hg=")</f>
        <v>#REF!</v>
      </c>
      <c r="Z11" t="e">
        <f>AND(#REF!,"AAAAAH/1/hk=")</f>
        <v>#REF!</v>
      </c>
      <c r="AA11" t="e">
        <f>AND(#REF!,"AAAAAH/1/ho=")</f>
        <v>#REF!</v>
      </c>
      <c r="AB11" t="e">
        <f>AND(#REF!,"AAAAAH/1/hs=")</f>
        <v>#REF!</v>
      </c>
      <c r="AC11" t="e">
        <f>AND(#REF!,"AAAAAH/1/hw=")</f>
        <v>#REF!</v>
      </c>
      <c r="AD11" t="e">
        <f>AND(#REF!,"AAAAAH/1/h0=")</f>
        <v>#REF!</v>
      </c>
      <c r="AE11" t="e">
        <f>AND(#REF!,"AAAAAH/1/h4=")</f>
        <v>#REF!</v>
      </c>
      <c r="AF11" t="e">
        <f>AND(#REF!,"AAAAAH/1/h8=")</f>
        <v>#REF!</v>
      </c>
      <c r="AG11" t="e">
        <f>AND(#REF!,"AAAAAH/1/iA=")</f>
        <v>#REF!</v>
      </c>
      <c r="AH11" t="e">
        <f>AND(#REF!,"AAAAAH/1/iE=")</f>
        <v>#REF!</v>
      </c>
      <c r="AI11" t="e">
        <f>AND(#REF!,"AAAAAH/1/iI=")</f>
        <v>#REF!</v>
      </c>
      <c r="AJ11" t="e">
        <f>AND(#REF!,"AAAAAH/1/iM=")</f>
        <v>#REF!</v>
      </c>
      <c r="AK11" t="e">
        <f>AND(#REF!,"AAAAAH/1/iQ=")</f>
        <v>#REF!</v>
      </c>
      <c r="AL11" t="e">
        <f>AND(#REF!,"AAAAAH/1/iU=")</f>
        <v>#REF!</v>
      </c>
      <c r="AM11" t="e">
        <f>AND(#REF!,"AAAAAH/1/iY=")</f>
        <v>#REF!</v>
      </c>
      <c r="AN11" t="e">
        <f>AND(#REF!,"AAAAAH/1/ic=")</f>
        <v>#REF!</v>
      </c>
      <c r="AO11" t="e">
        <f>AND(#REF!,"AAAAAH/1/ig=")</f>
        <v>#REF!</v>
      </c>
      <c r="AP11" t="e">
        <f>AND(#REF!,"AAAAAH/1/ik=")</f>
        <v>#REF!</v>
      </c>
      <c r="AQ11" t="e">
        <f>AND(#REF!,"AAAAAH/1/io=")</f>
        <v>#REF!</v>
      </c>
      <c r="AR11" t="e">
        <f>AND(#REF!,"AAAAAH/1/is=")</f>
        <v>#REF!</v>
      </c>
      <c r="AS11" t="e">
        <f>AND(#REF!,"AAAAAH/1/iw=")</f>
        <v>#REF!</v>
      </c>
      <c r="AT11" t="e">
        <f>AND(#REF!,"AAAAAH/1/i0=")</f>
        <v>#REF!</v>
      </c>
      <c r="AU11" t="e">
        <f>AND(#REF!,"AAAAAH/1/i4=")</f>
        <v>#REF!</v>
      </c>
      <c r="AV11" t="e">
        <f>AND(#REF!,"AAAAAH/1/i8=")</f>
        <v>#REF!</v>
      </c>
      <c r="AW11" t="e">
        <f>AND(#REF!,"AAAAAH/1/jA=")</f>
        <v>#REF!</v>
      </c>
      <c r="AX11" t="e">
        <f>AND(#REF!,"AAAAAH/1/jE=")</f>
        <v>#REF!</v>
      </c>
      <c r="AY11" t="e">
        <f>AND(#REF!,"AAAAAH/1/jI=")</f>
        <v>#REF!</v>
      </c>
      <c r="AZ11" t="e">
        <f>AND(#REF!,"AAAAAH/1/jM=")</f>
        <v>#REF!</v>
      </c>
      <c r="BA11" t="e">
        <f>AND(#REF!,"AAAAAH/1/jQ=")</f>
        <v>#REF!</v>
      </c>
      <c r="BB11" t="e">
        <f>AND(#REF!,"AAAAAH/1/jU=")</f>
        <v>#REF!</v>
      </c>
      <c r="BC11" t="e">
        <f>AND(#REF!,"AAAAAH/1/jY=")</f>
        <v>#REF!</v>
      </c>
      <c r="BD11" t="e">
        <f>AND(#REF!,"AAAAAH/1/jc=")</f>
        <v>#REF!</v>
      </c>
      <c r="BE11" t="e">
        <f>AND(#REF!,"AAAAAH/1/jg=")</f>
        <v>#REF!</v>
      </c>
      <c r="BF11" t="e">
        <f>AND(#REF!,"AAAAAH/1/jk=")</f>
        <v>#REF!</v>
      </c>
      <c r="BG11" t="e">
        <f>AND(#REF!,"AAAAAH/1/jo=")</f>
        <v>#REF!</v>
      </c>
      <c r="BH11" t="e">
        <f>AND(#REF!,"AAAAAH/1/js=")</f>
        <v>#REF!</v>
      </c>
      <c r="BI11" t="e">
        <f>AND(#REF!,"AAAAAH/1/jw=")</f>
        <v>#REF!</v>
      </c>
      <c r="BJ11" t="e">
        <f>AND(#REF!,"AAAAAH/1/j0=")</f>
        <v>#REF!</v>
      </c>
      <c r="BK11" t="e">
        <f>AND(#REF!,"AAAAAH/1/j4=")</f>
        <v>#REF!</v>
      </c>
      <c r="BL11" t="e">
        <f>AND(#REF!,"AAAAAH/1/j8=")</f>
        <v>#REF!</v>
      </c>
      <c r="BM11" t="e">
        <f>AND(#REF!,"AAAAAH/1/kA=")</f>
        <v>#REF!</v>
      </c>
      <c r="BN11" t="e">
        <f>AND(#REF!,"AAAAAH/1/kE=")</f>
        <v>#REF!</v>
      </c>
      <c r="BO11" t="e">
        <f>AND(#REF!,"AAAAAH/1/kI=")</f>
        <v>#REF!</v>
      </c>
      <c r="BP11" t="e">
        <f>AND(#REF!,"AAAAAH/1/kM=")</f>
        <v>#REF!</v>
      </c>
      <c r="BQ11" t="e">
        <f>AND(#REF!,"AAAAAH/1/kQ=")</f>
        <v>#REF!</v>
      </c>
      <c r="BR11" t="e">
        <f>AND(#REF!,"AAAAAH/1/kU=")</f>
        <v>#REF!</v>
      </c>
      <c r="BS11" t="e">
        <f>AND(#REF!,"AAAAAH/1/kY=")</f>
        <v>#REF!</v>
      </c>
      <c r="BT11" t="e">
        <f>AND(#REF!,"AAAAAH/1/kc=")</f>
        <v>#REF!</v>
      </c>
      <c r="BU11" t="e">
        <f>AND(#REF!,"AAAAAH/1/kg=")</f>
        <v>#REF!</v>
      </c>
      <c r="BV11" t="e">
        <f>AND(#REF!,"AAAAAH/1/kk=")</f>
        <v>#REF!</v>
      </c>
      <c r="BW11" t="e">
        <f>AND(#REF!,"AAAAAH/1/ko=")</f>
        <v>#REF!</v>
      </c>
      <c r="BX11" t="e">
        <f>AND(#REF!,"AAAAAH/1/ks=")</f>
        <v>#REF!</v>
      </c>
      <c r="BY11" t="e">
        <f>AND(#REF!,"AAAAAH/1/kw=")</f>
        <v>#REF!</v>
      </c>
      <c r="BZ11" t="e">
        <f>AND(#REF!,"AAAAAH/1/k0=")</f>
        <v>#REF!</v>
      </c>
      <c r="CA11" t="e">
        <f>AND(#REF!,"AAAAAH/1/k4=")</f>
        <v>#REF!</v>
      </c>
      <c r="CB11" t="e">
        <f>AND(#REF!,"AAAAAH/1/k8=")</f>
        <v>#REF!</v>
      </c>
      <c r="CC11" t="e">
        <f>AND(#REF!,"AAAAAH/1/lA=")</f>
        <v>#REF!</v>
      </c>
      <c r="CD11" t="e">
        <f>AND(#REF!,"AAAAAH/1/lE=")</f>
        <v>#REF!</v>
      </c>
      <c r="CE11" t="e">
        <f>AND(#REF!,"AAAAAH/1/lI=")</f>
        <v>#REF!</v>
      </c>
      <c r="CF11" t="e">
        <f>AND(#REF!,"AAAAAH/1/lM=")</f>
        <v>#REF!</v>
      </c>
      <c r="CG11" t="e">
        <f>AND(#REF!,"AAAAAH/1/lQ=")</f>
        <v>#REF!</v>
      </c>
      <c r="CH11" t="e">
        <f>AND(#REF!,"AAAAAH/1/lU=")</f>
        <v>#REF!</v>
      </c>
      <c r="CI11" t="e">
        <f>AND(#REF!,"AAAAAH/1/lY=")</f>
        <v>#REF!</v>
      </c>
      <c r="CJ11" t="e">
        <f>AND(#REF!,"AAAAAH/1/lc=")</f>
        <v>#REF!</v>
      </c>
      <c r="CK11" t="e">
        <f>AND(#REF!,"AAAAAH/1/lg=")</f>
        <v>#REF!</v>
      </c>
      <c r="CL11" t="e">
        <f>AND(#REF!,"AAAAAH/1/lk=")</f>
        <v>#REF!</v>
      </c>
      <c r="CM11" t="e">
        <f>AND(#REF!,"AAAAAH/1/lo=")</f>
        <v>#REF!</v>
      </c>
      <c r="CN11" t="e">
        <f>AND(#REF!,"AAAAAH/1/ls=")</f>
        <v>#REF!</v>
      </c>
      <c r="CO11" t="e">
        <f>AND(#REF!,"AAAAAH/1/lw=")</f>
        <v>#REF!</v>
      </c>
      <c r="CP11" t="e">
        <f>AND(#REF!,"AAAAAH/1/l0=")</f>
        <v>#REF!</v>
      </c>
      <c r="CQ11" t="e">
        <f>AND(#REF!,"AAAAAH/1/l4=")</f>
        <v>#REF!</v>
      </c>
      <c r="CR11" t="e">
        <f>AND(#REF!,"AAAAAH/1/l8=")</f>
        <v>#REF!</v>
      </c>
      <c r="CS11" t="e">
        <f>AND(#REF!,"AAAAAH/1/mA=")</f>
        <v>#REF!</v>
      </c>
      <c r="CT11" t="e">
        <f>AND(#REF!,"AAAAAH/1/mE=")</f>
        <v>#REF!</v>
      </c>
      <c r="CU11" t="e">
        <f>AND(#REF!,"AAAAAH/1/mI=")</f>
        <v>#REF!</v>
      </c>
      <c r="CV11" t="e">
        <f>AND(#REF!,"AAAAAH/1/mM=")</f>
        <v>#REF!</v>
      </c>
      <c r="CW11" t="e">
        <f>AND(#REF!,"AAAAAH/1/mQ=")</f>
        <v>#REF!</v>
      </c>
      <c r="CX11" t="e">
        <f>AND(#REF!,"AAAAAH/1/mU=")</f>
        <v>#REF!</v>
      </c>
      <c r="CY11" t="e">
        <f>AND(#REF!,"AAAAAH/1/mY=")</f>
        <v>#REF!</v>
      </c>
      <c r="CZ11" t="e">
        <f>AND(#REF!,"AAAAAH/1/mc=")</f>
        <v>#REF!</v>
      </c>
      <c r="DA11" t="e">
        <f>AND(#REF!,"AAAAAH/1/mg=")</f>
        <v>#REF!</v>
      </c>
      <c r="DB11" t="e">
        <f>AND(#REF!,"AAAAAH/1/mk=")</f>
        <v>#REF!</v>
      </c>
      <c r="DC11" t="e">
        <f>AND(#REF!,"AAAAAH/1/mo=")</f>
        <v>#REF!</v>
      </c>
      <c r="DD11" t="e">
        <f>AND(#REF!,"AAAAAH/1/ms=")</f>
        <v>#REF!</v>
      </c>
      <c r="DE11" t="e">
        <f>AND(#REF!,"AAAAAH/1/mw=")</f>
        <v>#REF!</v>
      </c>
      <c r="DF11" t="e">
        <f>AND(#REF!,"AAAAAH/1/m0=")</f>
        <v>#REF!</v>
      </c>
      <c r="DG11" t="e">
        <f>AND(#REF!,"AAAAAH/1/m4=")</f>
        <v>#REF!</v>
      </c>
      <c r="DH11" t="e">
        <f>AND(#REF!,"AAAAAH/1/m8=")</f>
        <v>#REF!</v>
      </c>
      <c r="DI11" t="e">
        <f>AND(#REF!,"AAAAAH/1/nA=")</f>
        <v>#REF!</v>
      </c>
      <c r="DJ11" t="e">
        <f>AND(#REF!,"AAAAAH/1/nE=")</f>
        <v>#REF!</v>
      </c>
      <c r="DK11" t="e">
        <f>AND(#REF!,"AAAAAH/1/nI=")</f>
        <v>#REF!</v>
      </c>
      <c r="DL11" t="e">
        <f>AND(#REF!,"AAAAAH/1/nM=")</f>
        <v>#REF!</v>
      </c>
      <c r="DM11" t="e">
        <f>AND(#REF!,"AAAAAH/1/nQ=")</f>
        <v>#REF!</v>
      </c>
      <c r="DN11" t="e">
        <f>AND(#REF!,"AAAAAH/1/nU=")</f>
        <v>#REF!</v>
      </c>
      <c r="DO11" t="e">
        <f>AND(#REF!,"AAAAAH/1/nY=")</f>
        <v>#REF!</v>
      </c>
      <c r="DP11" t="e">
        <f>AND(#REF!,"AAAAAH/1/nc=")</f>
        <v>#REF!</v>
      </c>
      <c r="DQ11" t="e">
        <f>AND(#REF!,"AAAAAH/1/ng=")</f>
        <v>#REF!</v>
      </c>
      <c r="DR11" t="e">
        <f>AND(#REF!,"AAAAAH/1/nk=")</f>
        <v>#REF!</v>
      </c>
      <c r="DS11" t="e">
        <f>AND(#REF!,"AAAAAH/1/no=")</f>
        <v>#REF!</v>
      </c>
      <c r="DT11" t="e">
        <f>AND(#REF!,"AAAAAH/1/ns=")</f>
        <v>#REF!</v>
      </c>
      <c r="DU11" t="e">
        <f>AND(#REF!,"AAAAAH/1/nw=")</f>
        <v>#REF!</v>
      </c>
      <c r="DV11" t="e">
        <f>AND(#REF!,"AAAAAH/1/n0=")</f>
        <v>#REF!</v>
      </c>
      <c r="DW11" t="e">
        <f>AND(#REF!,"AAAAAH/1/n4=")</f>
        <v>#REF!</v>
      </c>
      <c r="DX11" t="e">
        <f>AND(#REF!,"AAAAAH/1/n8=")</f>
        <v>#REF!</v>
      </c>
      <c r="DY11" t="e">
        <f>AND(#REF!,"AAAAAH/1/oA=")</f>
        <v>#REF!</v>
      </c>
      <c r="DZ11" t="e">
        <f>AND(#REF!,"AAAAAH/1/oE=")</f>
        <v>#REF!</v>
      </c>
      <c r="EA11" t="e">
        <f>AND(#REF!,"AAAAAH/1/oI=")</f>
        <v>#REF!</v>
      </c>
      <c r="EB11" t="e">
        <f>AND(#REF!,"AAAAAH/1/oM=")</f>
        <v>#REF!</v>
      </c>
      <c r="EC11" t="e">
        <f>AND(#REF!,"AAAAAH/1/oQ=")</f>
        <v>#REF!</v>
      </c>
      <c r="ED11" t="e">
        <f>AND(#REF!,"AAAAAH/1/oU=")</f>
        <v>#REF!</v>
      </c>
      <c r="EE11" t="e">
        <f>AND(#REF!,"AAAAAH/1/oY=")</f>
        <v>#REF!</v>
      </c>
      <c r="EF11" t="e">
        <f>AND(#REF!,"AAAAAH/1/oc=")</f>
        <v>#REF!</v>
      </c>
      <c r="EG11" t="e">
        <f>AND(#REF!,"AAAAAH/1/og=")</f>
        <v>#REF!</v>
      </c>
      <c r="EH11" t="e">
        <f>AND(#REF!,"AAAAAH/1/ok=")</f>
        <v>#REF!</v>
      </c>
      <c r="EI11" t="e">
        <f>AND(#REF!,"AAAAAH/1/oo=")</f>
        <v>#REF!</v>
      </c>
      <c r="EJ11" t="e">
        <f>AND(#REF!,"AAAAAH/1/os=")</f>
        <v>#REF!</v>
      </c>
      <c r="EK11" t="e">
        <f>AND(#REF!,"AAAAAH/1/ow=")</f>
        <v>#REF!</v>
      </c>
      <c r="EL11" t="e">
        <f>AND(#REF!,"AAAAAH/1/o0=")</f>
        <v>#REF!</v>
      </c>
      <c r="EM11" t="e">
        <f>AND(#REF!,"AAAAAH/1/o4=")</f>
        <v>#REF!</v>
      </c>
      <c r="EN11" t="e">
        <f>AND(#REF!,"AAAAAH/1/o8=")</f>
        <v>#REF!</v>
      </c>
      <c r="EO11" t="e">
        <f>AND(#REF!,"AAAAAH/1/pA=")</f>
        <v>#REF!</v>
      </c>
      <c r="EP11" t="e">
        <f>AND(#REF!,"AAAAAH/1/pE=")</f>
        <v>#REF!</v>
      </c>
      <c r="EQ11" t="e">
        <f>AND(#REF!,"AAAAAH/1/pI=")</f>
        <v>#REF!</v>
      </c>
      <c r="ER11" t="e">
        <f>AND(#REF!,"AAAAAH/1/pM=")</f>
        <v>#REF!</v>
      </c>
      <c r="ES11" t="e">
        <f>AND(#REF!,"AAAAAH/1/pQ=")</f>
        <v>#REF!</v>
      </c>
      <c r="ET11" t="e">
        <f>AND(#REF!,"AAAAAH/1/pU=")</f>
        <v>#REF!</v>
      </c>
      <c r="EU11" t="e">
        <f>AND(#REF!,"AAAAAH/1/pY=")</f>
        <v>#REF!</v>
      </c>
      <c r="EV11" t="e">
        <f>AND(#REF!,"AAAAAH/1/pc=")</f>
        <v>#REF!</v>
      </c>
      <c r="EW11" t="e">
        <f>AND(#REF!,"AAAAAH/1/pg=")</f>
        <v>#REF!</v>
      </c>
      <c r="EX11" t="e">
        <f>AND(#REF!,"AAAAAH/1/pk=")</f>
        <v>#REF!</v>
      </c>
      <c r="EY11" t="e">
        <f>AND(#REF!,"AAAAAH/1/po=")</f>
        <v>#REF!</v>
      </c>
      <c r="EZ11" t="e">
        <f>AND(#REF!,"AAAAAH/1/ps=")</f>
        <v>#REF!</v>
      </c>
      <c r="FA11" t="e">
        <f>AND(#REF!,"AAAAAH/1/pw=")</f>
        <v>#REF!</v>
      </c>
      <c r="FB11" t="e">
        <f>AND(#REF!,"AAAAAH/1/p0=")</f>
        <v>#REF!</v>
      </c>
      <c r="FC11" t="e">
        <f>AND(#REF!,"AAAAAH/1/p4=")</f>
        <v>#REF!</v>
      </c>
      <c r="FD11" t="e">
        <f>AND(#REF!,"AAAAAH/1/p8=")</f>
        <v>#REF!</v>
      </c>
      <c r="FE11" t="e">
        <f>AND(#REF!,"AAAAAH/1/qA=")</f>
        <v>#REF!</v>
      </c>
      <c r="FF11" t="e">
        <f>AND(#REF!,"AAAAAH/1/qE=")</f>
        <v>#REF!</v>
      </c>
      <c r="FG11" t="e">
        <f>AND(#REF!,"AAAAAH/1/qI=")</f>
        <v>#REF!</v>
      </c>
      <c r="FH11" t="e">
        <f>AND(#REF!,"AAAAAH/1/qM=")</f>
        <v>#REF!</v>
      </c>
      <c r="FI11" t="e">
        <f>AND(#REF!,"AAAAAH/1/qQ=")</f>
        <v>#REF!</v>
      </c>
      <c r="FJ11" t="e">
        <f>AND(#REF!,"AAAAAH/1/qU=")</f>
        <v>#REF!</v>
      </c>
      <c r="FK11" t="e">
        <f>AND(#REF!,"AAAAAH/1/qY=")</f>
        <v>#REF!</v>
      </c>
      <c r="FL11" t="e">
        <f>AND(#REF!,"AAAAAH/1/qc=")</f>
        <v>#REF!</v>
      </c>
      <c r="FM11" t="e">
        <f>AND(#REF!,"AAAAAH/1/qg=")</f>
        <v>#REF!</v>
      </c>
      <c r="FN11" t="e">
        <f>AND(#REF!,"AAAAAH/1/qk=")</f>
        <v>#REF!</v>
      </c>
      <c r="FO11" t="e">
        <f>AND(#REF!,"AAAAAH/1/qo=")</f>
        <v>#REF!</v>
      </c>
      <c r="FP11" t="e">
        <f>AND(#REF!,"AAAAAH/1/qs=")</f>
        <v>#REF!</v>
      </c>
      <c r="FQ11" t="e">
        <f>AND(#REF!,"AAAAAH/1/qw=")</f>
        <v>#REF!</v>
      </c>
      <c r="FR11" t="e">
        <f>AND(#REF!,"AAAAAH/1/q0=")</f>
        <v>#REF!</v>
      </c>
      <c r="FS11" t="e">
        <f>AND(#REF!,"AAAAAH/1/q4=")</f>
        <v>#REF!</v>
      </c>
      <c r="FT11" t="e">
        <f>AND(#REF!,"AAAAAH/1/q8=")</f>
        <v>#REF!</v>
      </c>
      <c r="FU11" t="e">
        <f>AND(#REF!,"AAAAAH/1/rA=")</f>
        <v>#REF!</v>
      </c>
      <c r="FV11" t="e">
        <f>AND(#REF!,"AAAAAH/1/rE=")</f>
        <v>#REF!</v>
      </c>
      <c r="FW11" t="e">
        <f>AND(#REF!,"AAAAAH/1/rI=")</f>
        <v>#REF!</v>
      </c>
      <c r="FX11" t="e">
        <f>AND(#REF!,"AAAAAH/1/rM=")</f>
        <v>#REF!</v>
      </c>
      <c r="FY11" t="e">
        <f>AND(#REF!,"AAAAAH/1/rQ=")</f>
        <v>#REF!</v>
      </c>
      <c r="FZ11" t="e">
        <f>AND(#REF!,"AAAAAH/1/rU=")</f>
        <v>#REF!</v>
      </c>
      <c r="GA11" t="e">
        <f>AND(#REF!,"AAAAAH/1/rY=")</f>
        <v>#REF!</v>
      </c>
      <c r="GB11" t="e">
        <f>AND(#REF!,"AAAAAH/1/rc=")</f>
        <v>#REF!</v>
      </c>
      <c r="GC11" t="e">
        <f>AND(#REF!,"AAAAAH/1/rg=")</f>
        <v>#REF!</v>
      </c>
      <c r="GD11" t="e">
        <f>AND(#REF!,"AAAAAH/1/rk=")</f>
        <v>#REF!</v>
      </c>
      <c r="GE11" t="e">
        <f>AND(#REF!,"AAAAAH/1/ro=")</f>
        <v>#REF!</v>
      </c>
      <c r="GF11" t="e">
        <f>AND(#REF!,"AAAAAH/1/rs=")</f>
        <v>#REF!</v>
      </c>
      <c r="GG11" t="e">
        <f>AND(#REF!,"AAAAAH/1/rw=")</f>
        <v>#REF!</v>
      </c>
      <c r="GH11" t="e">
        <f>AND(#REF!,"AAAAAH/1/r0=")</f>
        <v>#REF!</v>
      </c>
      <c r="GI11" t="e">
        <f>AND(#REF!,"AAAAAH/1/r4=")</f>
        <v>#REF!</v>
      </c>
      <c r="GJ11" t="e">
        <f>AND(#REF!,"AAAAAH/1/r8=")</f>
        <v>#REF!</v>
      </c>
      <c r="GK11" t="e">
        <f>AND(#REF!,"AAAAAH/1/sA=")</f>
        <v>#REF!</v>
      </c>
      <c r="GL11" t="e">
        <f>AND(#REF!,"AAAAAH/1/sE=")</f>
        <v>#REF!</v>
      </c>
      <c r="GM11" t="e">
        <f>AND(#REF!,"AAAAAH/1/sI=")</f>
        <v>#REF!</v>
      </c>
      <c r="GN11" t="e">
        <f>AND(#REF!,"AAAAAH/1/sM=")</f>
        <v>#REF!</v>
      </c>
      <c r="GO11" t="e">
        <f>AND(#REF!,"AAAAAH/1/sQ=")</f>
        <v>#REF!</v>
      </c>
      <c r="GP11" t="e">
        <f>AND(#REF!,"AAAAAH/1/sU=")</f>
        <v>#REF!</v>
      </c>
      <c r="GQ11" t="e">
        <f>AND(#REF!,"AAAAAH/1/sY=")</f>
        <v>#REF!</v>
      </c>
      <c r="GR11" t="e">
        <f>AND(#REF!,"AAAAAH/1/sc=")</f>
        <v>#REF!</v>
      </c>
      <c r="GS11" t="e">
        <f>AND(#REF!,"AAAAAH/1/sg=")</f>
        <v>#REF!</v>
      </c>
      <c r="GT11" t="e">
        <f>AND(#REF!,"AAAAAH/1/sk=")</f>
        <v>#REF!</v>
      </c>
      <c r="GU11" t="e">
        <f>AND(#REF!,"AAAAAH/1/so=")</f>
        <v>#REF!</v>
      </c>
      <c r="GV11" t="e">
        <f>AND(#REF!,"AAAAAH/1/ss=")</f>
        <v>#REF!</v>
      </c>
      <c r="GW11" t="e">
        <f>AND(#REF!,"AAAAAH/1/sw=")</f>
        <v>#REF!</v>
      </c>
      <c r="GX11" t="e">
        <f>AND(#REF!,"AAAAAH/1/s0=")</f>
        <v>#REF!</v>
      </c>
      <c r="GY11" t="e">
        <f>AND(#REF!,"AAAAAH/1/s4=")</f>
        <v>#REF!</v>
      </c>
      <c r="GZ11" t="e">
        <f>AND(#REF!,"AAAAAH/1/s8=")</f>
        <v>#REF!</v>
      </c>
      <c r="HA11" t="e">
        <f>AND(#REF!,"AAAAAH/1/tA=")</f>
        <v>#REF!</v>
      </c>
      <c r="HB11" t="e">
        <f>AND(#REF!,"AAAAAH/1/tE=")</f>
        <v>#REF!</v>
      </c>
      <c r="HC11" t="e">
        <f>AND(#REF!,"AAAAAH/1/tI=")</f>
        <v>#REF!</v>
      </c>
      <c r="HD11" t="e">
        <f>AND(#REF!,"AAAAAH/1/tM=")</f>
        <v>#REF!</v>
      </c>
      <c r="HE11" t="e">
        <f>AND(#REF!,"AAAAAH/1/tQ=")</f>
        <v>#REF!</v>
      </c>
      <c r="HF11" t="e">
        <f>AND(#REF!,"AAAAAH/1/tU=")</f>
        <v>#REF!</v>
      </c>
      <c r="HG11" t="e">
        <f>AND(#REF!,"AAAAAH/1/tY=")</f>
        <v>#REF!</v>
      </c>
      <c r="HH11" t="e">
        <f>AND(#REF!,"AAAAAH/1/tc=")</f>
        <v>#REF!</v>
      </c>
      <c r="HI11" t="e">
        <f>AND(#REF!,"AAAAAH/1/tg=")</f>
        <v>#REF!</v>
      </c>
      <c r="HJ11" t="e">
        <f>AND(#REF!,"AAAAAH/1/tk=")</f>
        <v>#REF!</v>
      </c>
      <c r="HK11" t="e">
        <f>AND(#REF!,"AAAAAH/1/to=")</f>
        <v>#REF!</v>
      </c>
      <c r="HL11" t="e">
        <f>AND(#REF!,"AAAAAH/1/ts=")</f>
        <v>#REF!</v>
      </c>
      <c r="HM11" t="e">
        <f>AND(#REF!,"AAAAAH/1/tw=")</f>
        <v>#REF!</v>
      </c>
      <c r="HN11" t="e">
        <f>AND(#REF!,"AAAAAH/1/t0=")</f>
        <v>#REF!</v>
      </c>
      <c r="HO11" t="e">
        <f>AND(#REF!,"AAAAAH/1/t4=")</f>
        <v>#REF!</v>
      </c>
      <c r="HP11" t="e">
        <f>AND(#REF!,"AAAAAH/1/t8=")</f>
        <v>#REF!</v>
      </c>
      <c r="HQ11" t="e">
        <f>AND(#REF!,"AAAAAH/1/uA=")</f>
        <v>#REF!</v>
      </c>
      <c r="HR11" t="e">
        <f>AND(#REF!,"AAAAAH/1/uE=")</f>
        <v>#REF!</v>
      </c>
      <c r="HS11" t="e">
        <f>AND(#REF!,"AAAAAH/1/uI=")</f>
        <v>#REF!</v>
      </c>
      <c r="HT11" t="e">
        <f>AND(#REF!,"AAAAAH/1/uM=")</f>
        <v>#REF!</v>
      </c>
      <c r="HU11" t="e">
        <f>AND(#REF!,"AAAAAH/1/uQ=")</f>
        <v>#REF!</v>
      </c>
      <c r="HV11" t="e">
        <f>AND(#REF!,"AAAAAH/1/uU=")</f>
        <v>#REF!</v>
      </c>
      <c r="HW11" t="e">
        <f>AND(#REF!,"AAAAAH/1/uY=")</f>
        <v>#REF!</v>
      </c>
      <c r="HX11" t="e">
        <f>AND(#REF!,"AAAAAH/1/uc=")</f>
        <v>#REF!</v>
      </c>
      <c r="HY11" t="e">
        <f>AND(#REF!,"AAAAAH/1/ug=")</f>
        <v>#REF!</v>
      </c>
      <c r="HZ11" t="e">
        <f>AND(#REF!,"AAAAAH/1/uk=")</f>
        <v>#REF!</v>
      </c>
      <c r="IA11" t="e">
        <f>AND(#REF!,"AAAAAH/1/uo=")</f>
        <v>#REF!</v>
      </c>
      <c r="IB11" t="e">
        <f>AND(#REF!,"AAAAAH/1/us=")</f>
        <v>#REF!</v>
      </c>
      <c r="IC11" t="e">
        <f>AND(#REF!,"AAAAAH/1/uw=")</f>
        <v>#REF!</v>
      </c>
      <c r="ID11" t="e">
        <f>AND(#REF!,"AAAAAH/1/u0=")</f>
        <v>#REF!</v>
      </c>
      <c r="IE11" t="e">
        <f>AND(#REF!,"AAAAAH/1/u4=")</f>
        <v>#REF!</v>
      </c>
      <c r="IF11" t="e">
        <f>AND(#REF!,"AAAAAH/1/u8=")</f>
        <v>#REF!</v>
      </c>
      <c r="IG11" t="e">
        <f>AND(#REF!,"AAAAAH/1/vA=")</f>
        <v>#REF!</v>
      </c>
      <c r="IH11" t="e">
        <f>AND(#REF!,"AAAAAH/1/vE=")</f>
        <v>#REF!</v>
      </c>
      <c r="II11" t="e">
        <f>AND(#REF!,"AAAAAH/1/vI=")</f>
        <v>#REF!</v>
      </c>
      <c r="IJ11" t="e">
        <f>AND(#REF!,"AAAAAH/1/vM=")</f>
        <v>#REF!</v>
      </c>
      <c r="IK11" t="e">
        <f>AND(#REF!,"AAAAAH/1/vQ=")</f>
        <v>#REF!</v>
      </c>
      <c r="IL11" t="e">
        <f>AND(#REF!,"AAAAAH/1/vU=")</f>
        <v>#REF!</v>
      </c>
      <c r="IM11" t="e">
        <f>AND(#REF!,"AAAAAH/1/vY=")</f>
        <v>#REF!</v>
      </c>
      <c r="IN11" t="e">
        <f>AND(#REF!,"AAAAAH/1/vc=")</f>
        <v>#REF!</v>
      </c>
      <c r="IO11" t="e">
        <f>AND(#REF!,"AAAAAH/1/vg=")</f>
        <v>#REF!</v>
      </c>
      <c r="IP11" t="e">
        <f>AND(#REF!,"AAAAAH/1/vk=")</f>
        <v>#REF!</v>
      </c>
      <c r="IQ11" t="e">
        <f>AND(#REF!,"AAAAAH/1/vo=")</f>
        <v>#REF!</v>
      </c>
      <c r="IR11" t="e">
        <f>AND(#REF!,"AAAAAH/1/vs=")</f>
        <v>#REF!</v>
      </c>
      <c r="IS11" t="e">
        <f>AND(#REF!,"AAAAAH/1/vw=")</f>
        <v>#REF!</v>
      </c>
      <c r="IT11" t="e">
        <f>AND(#REF!,"AAAAAH/1/v0=")</f>
        <v>#REF!</v>
      </c>
      <c r="IU11" t="e">
        <f>AND(#REF!,"AAAAAH/1/v4=")</f>
        <v>#REF!</v>
      </c>
      <c r="IV11" t="e">
        <f>AND(#REF!,"AAAAAH/1/v8=")</f>
        <v>#REF!</v>
      </c>
    </row>
    <row r="12" spans="1:256" x14ac:dyDescent="0.25">
      <c r="A12" t="e">
        <f>AND(#REF!,"AAAAAFm20wA=")</f>
        <v>#REF!</v>
      </c>
      <c r="B12" t="e">
        <f>AND(#REF!,"AAAAAFm20wE=")</f>
        <v>#REF!</v>
      </c>
      <c r="C12" t="e">
        <f>AND(#REF!,"AAAAAFm20wI=")</f>
        <v>#REF!</v>
      </c>
      <c r="D12" t="e">
        <f>AND(#REF!,"AAAAAFm20wM=")</f>
        <v>#REF!</v>
      </c>
      <c r="E12" t="e">
        <f>IF(#REF!,"AAAAAFm20wQ=",0)</f>
        <v>#REF!</v>
      </c>
      <c r="F12" t="e">
        <f>AND(#REF!,"AAAAAFm20wU=")</f>
        <v>#REF!</v>
      </c>
      <c r="G12" t="e">
        <f>AND(#REF!,"AAAAAFm20wY=")</f>
        <v>#REF!</v>
      </c>
      <c r="H12" t="e">
        <f>AND(#REF!,"AAAAAFm20wc=")</f>
        <v>#REF!</v>
      </c>
      <c r="I12" t="e">
        <f>AND(#REF!,"AAAAAFm20wg=")</f>
        <v>#REF!</v>
      </c>
      <c r="J12" t="e">
        <f>AND(#REF!,"AAAAAFm20wk=")</f>
        <v>#REF!</v>
      </c>
      <c r="K12" t="e">
        <f>AND(#REF!,"AAAAAFm20wo=")</f>
        <v>#REF!</v>
      </c>
      <c r="L12" t="e">
        <f>AND(#REF!,"AAAAAFm20ws=")</f>
        <v>#REF!</v>
      </c>
      <c r="M12" t="e">
        <f>AND(#REF!,"AAAAAFm20ww=")</f>
        <v>#REF!</v>
      </c>
      <c r="N12" t="e">
        <f>AND(#REF!,"AAAAAFm20w0=")</f>
        <v>#REF!</v>
      </c>
      <c r="O12" t="e">
        <f>AND(#REF!,"AAAAAFm20w4=")</f>
        <v>#REF!</v>
      </c>
      <c r="P12" t="e">
        <f>AND(#REF!,"AAAAAFm20w8=")</f>
        <v>#REF!</v>
      </c>
      <c r="Q12" t="e">
        <f>AND(#REF!,"AAAAAFm20xA=")</f>
        <v>#REF!</v>
      </c>
      <c r="R12" t="e">
        <f>AND(#REF!,"AAAAAFm20xE=")</f>
        <v>#REF!</v>
      </c>
      <c r="S12" t="e">
        <f>AND(#REF!,"AAAAAFm20xI=")</f>
        <v>#REF!</v>
      </c>
      <c r="T12" t="e">
        <f>AND(#REF!,"AAAAAFm20xM=")</f>
        <v>#REF!</v>
      </c>
      <c r="U12" t="e">
        <f>AND(#REF!,"AAAAAFm20xQ=")</f>
        <v>#REF!</v>
      </c>
      <c r="V12" t="e">
        <f>AND(#REF!,"AAAAAFm20xU=")</f>
        <v>#REF!</v>
      </c>
      <c r="W12" t="e">
        <f>AND(#REF!,"AAAAAFm20xY=")</f>
        <v>#REF!</v>
      </c>
      <c r="X12" t="e">
        <f>AND(#REF!,"AAAAAFm20xc=")</f>
        <v>#REF!</v>
      </c>
      <c r="Y12" t="e">
        <f>AND(#REF!,"AAAAAFm20xg=")</f>
        <v>#REF!</v>
      </c>
      <c r="Z12" t="e">
        <f>AND(#REF!,"AAAAAFm20xk=")</f>
        <v>#REF!</v>
      </c>
      <c r="AA12" t="e">
        <f>AND(#REF!,"AAAAAFm20xo=")</f>
        <v>#REF!</v>
      </c>
      <c r="AB12" t="e">
        <f>AND(#REF!,"AAAAAFm20xs=")</f>
        <v>#REF!</v>
      </c>
      <c r="AC12" t="e">
        <f>AND(#REF!,"AAAAAFm20xw=")</f>
        <v>#REF!</v>
      </c>
      <c r="AD12" t="e">
        <f>AND(#REF!,"AAAAAFm20x0=")</f>
        <v>#REF!</v>
      </c>
      <c r="AE12" t="e">
        <f>AND(#REF!,"AAAAAFm20x4=")</f>
        <v>#REF!</v>
      </c>
      <c r="AF12" t="e">
        <f>AND(#REF!,"AAAAAFm20x8=")</f>
        <v>#REF!</v>
      </c>
      <c r="AG12" t="e">
        <f>AND(#REF!,"AAAAAFm20yA=")</f>
        <v>#REF!</v>
      </c>
      <c r="AH12" t="e">
        <f>AND(#REF!,"AAAAAFm20yE=")</f>
        <v>#REF!</v>
      </c>
      <c r="AI12" t="e">
        <f>AND(#REF!,"AAAAAFm20yI=")</f>
        <v>#REF!</v>
      </c>
      <c r="AJ12" t="e">
        <f>AND(#REF!,"AAAAAFm20yM=")</f>
        <v>#REF!</v>
      </c>
      <c r="AK12" t="e">
        <f>AND(#REF!,"AAAAAFm20yQ=")</f>
        <v>#REF!</v>
      </c>
      <c r="AL12" t="e">
        <f>AND(#REF!,"AAAAAFm20yU=")</f>
        <v>#REF!</v>
      </c>
      <c r="AM12" t="e">
        <f>AND(#REF!,"AAAAAFm20yY=")</f>
        <v>#REF!</v>
      </c>
      <c r="AN12" t="e">
        <f>AND(#REF!,"AAAAAFm20yc=")</f>
        <v>#REF!</v>
      </c>
      <c r="AO12" t="e">
        <f>AND(#REF!,"AAAAAFm20yg=")</f>
        <v>#REF!</v>
      </c>
      <c r="AP12" t="e">
        <f>AND(#REF!,"AAAAAFm20yk=")</f>
        <v>#REF!</v>
      </c>
      <c r="AQ12" t="e">
        <f>AND(#REF!,"AAAAAFm20yo=")</f>
        <v>#REF!</v>
      </c>
      <c r="AR12" t="e">
        <f>AND(#REF!,"AAAAAFm20ys=")</f>
        <v>#REF!</v>
      </c>
      <c r="AS12" t="e">
        <f>AND(#REF!,"AAAAAFm20yw=")</f>
        <v>#REF!</v>
      </c>
      <c r="AT12" t="e">
        <f>AND(#REF!,"AAAAAFm20y0=")</f>
        <v>#REF!</v>
      </c>
      <c r="AU12" t="e">
        <f>AND(#REF!,"AAAAAFm20y4=")</f>
        <v>#REF!</v>
      </c>
      <c r="AV12" t="e">
        <f>AND(#REF!,"AAAAAFm20y8=")</f>
        <v>#REF!</v>
      </c>
      <c r="AW12" t="e">
        <f>AND(#REF!,"AAAAAFm20zA=")</f>
        <v>#REF!</v>
      </c>
      <c r="AX12" t="e">
        <f>AND(#REF!,"AAAAAFm20zE=")</f>
        <v>#REF!</v>
      </c>
      <c r="AY12" t="e">
        <f>AND(#REF!,"AAAAAFm20zI=")</f>
        <v>#REF!</v>
      </c>
      <c r="AZ12" t="e">
        <f>AND(#REF!,"AAAAAFm20zM=")</f>
        <v>#REF!</v>
      </c>
      <c r="BA12" t="e">
        <f>AND(#REF!,"AAAAAFm20zQ=")</f>
        <v>#REF!</v>
      </c>
      <c r="BB12" t="e">
        <f>AND(#REF!,"AAAAAFm20zU=")</f>
        <v>#REF!</v>
      </c>
      <c r="BC12" t="e">
        <f>AND(#REF!,"AAAAAFm20zY=")</f>
        <v>#REF!</v>
      </c>
      <c r="BD12" t="e">
        <f>AND(#REF!,"AAAAAFm20zc=")</f>
        <v>#REF!</v>
      </c>
      <c r="BE12" t="e">
        <f>AND(#REF!,"AAAAAFm20zg=")</f>
        <v>#REF!</v>
      </c>
      <c r="BF12" t="e">
        <f>AND(#REF!,"AAAAAFm20zk=")</f>
        <v>#REF!</v>
      </c>
      <c r="BG12" t="e">
        <f>AND(#REF!,"AAAAAFm20zo=")</f>
        <v>#REF!</v>
      </c>
      <c r="BH12" t="e">
        <f>AND(#REF!,"AAAAAFm20zs=")</f>
        <v>#REF!</v>
      </c>
      <c r="BI12" t="e">
        <f>AND(#REF!,"AAAAAFm20zw=")</f>
        <v>#REF!</v>
      </c>
      <c r="BJ12" t="e">
        <f>AND(#REF!,"AAAAAFm20z0=")</f>
        <v>#REF!</v>
      </c>
      <c r="BK12" t="e">
        <f>AND(#REF!,"AAAAAFm20z4=")</f>
        <v>#REF!</v>
      </c>
      <c r="BL12" t="e">
        <f>AND(#REF!,"AAAAAFm20z8=")</f>
        <v>#REF!</v>
      </c>
      <c r="BM12" t="e">
        <f>AND(#REF!,"AAAAAFm200A=")</f>
        <v>#REF!</v>
      </c>
      <c r="BN12" t="e">
        <f>AND(#REF!,"AAAAAFm200E=")</f>
        <v>#REF!</v>
      </c>
      <c r="BO12" t="e">
        <f>AND(#REF!,"AAAAAFm200I=")</f>
        <v>#REF!</v>
      </c>
      <c r="BP12" t="e">
        <f>AND(#REF!,"AAAAAFm200M=")</f>
        <v>#REF!</v>
      </c>
      <c r="BQ12" t="e">
        <f>AND(#REF!,"AAAAAFm200Q=")</f>
        <v>#REF!</v>
      </c>
      <c r="BR12" t="e">
        <f>AND(#REF!,"AAAAAFm200U=")</f>
        <v>#REF!</v>
      </c>
      <c r="BS12" t="e">
        <f>AND(#REF!,"AAAAAFm200Y=")</f>
        <v>#REF!</v>
      </c>
      <c r="BT12" t="e">
        <f>AND(#REF!,"AAAAAFm200c=")</f>
        <v>#REF!</v>
      </c>
      <c r="BU12" t="e">
        <f>AND(#REF!,"AAAAAFm200g=")</f>
        <v>#REF!</v>
      </c>
      <c r="BV12" t="e">
        <f>AND(#REF!,"AAAAAFm200k=")</f>
        <v>#REF!</v>
      </c>
      <c r="BW12" t="e">
        <f>AND(#REF!,"AAAAAFm200o=")</f>
        <v>#REF!</v>
      </c>
      <c r="BX12" t="e">
        <f>AND(#REF!,"AAAAAFm200s=")</f>
        <v>#REF!</v>
      </c>
      <c r="BY12" t="e">
        <f>AND(#REF!,"AAAAAFm200w=")</f>
        <v>#REF!</v>
      </c>
      <c r="BZ12" t="e">
        <f>AND(#REF!,"AAAAAFm2000=")</f>
        <v>#REF!</v>
      </c>
      <c r="CA12" t="e">
        <f>AND(#REF!,"AAAAAFm2004=")</f>
        <v>#REF!</v>
      </c>
      <c r="CB12" t="e">
        <f>AND(#REF!,"AAAAAFm2008=")</f>
        <v>#REF!</v>
      </c>
      <c r="CC12" t="e">
        <f>AND(#REF!,"AAAAAFm201A=")</f>
        <v>#REF!</v>
      </c>
      <c r="CD12" t="e">
        <f>AND(#REF!,"AAAAAFm201E=")</f>
        <v>#REF!</v>
      </c>
      <c r="CE12" t="e">
        <f>AND(#REF!,"AAAAAFm201I=")</f>
        <v>#REF!</v>
      </c>
      <c r="CF12" t="e">
        <f>AND(#REF!,"AAAAAFm201M=")</f>
        <v>#REF!</v>
      </c>
      <c r="CG12" t="e">
        <f>AND(#REF!,"AAAAAFm201Q=")</f>
        <v>#REF!</v>
      </c>
      <c r="CH12" t="e">
        <f>AND(#REF!,"AAAAAFm201U=")</f>
        <v>#REF!</v>
      </c>
      <c r="CI12" t="e">
        <f>AND(#REF!,"AAAAAFm201Y=")</f>
        <v>#REF!</v>
      </c>
      <c r="CJ12" t="e">
        <f>AND(#REF!,"AAAAAFm201c=")</f>
        <v>#REF!</v>
      </c>
      <c r="CK12" t="e">
        <f>AND(#REF!,"AAAAAFm201g=")</f>
        <v>#REF!</v>
      </c>
      <c r="CL12" t="e">
        <f>AND(#REF!,"AAAAAFm201k=")</f>
        <v>#REF!</v>
      </c>
      <c r="CM12" t="e">
        <f>AND(#REF!,"AAAAAFm201o=")</f>
        <v>#REF!</v>
      </c>
      <c r="CN12" t="e">
        <f>AND(#REF!,"AAAAAFm201s=")</f>
        <v>#REF!</v>
      </c>
      <c r="CO12" t="e">
        <f>AND(#REF!,"AAAAAFm201w=")</f>
        <v>#REF!</v>
      </c>
      <c r="CP12" t="e">
        <f>AND(#REF!,"AAAAAFm2010=")</f>
        <v>#REF!</v>
      </c>
      <c r="CQ12" t="e">
        <f>AND(#REF!,"AAAAAFm2014=")</f>
        <v>#REF!</v>
      </c>
      <c r="CR12" t="e">
        <f>AND(#REF!,"AAAAAFm2018=")</f>
        <v>#REF!</v>
      </c>
      <c r="CS12" t="e">
        <f>AND(#REF!,"AAAAAFm202A=")</f>
        <v>#REF!</v>
      </c>
      <c r="CT12" t="e">
        <f>AND(#REF!,"AAAAAFm202E=")</f>
        <v>#REF!</v>
      </c>
      <c r="CU12" t="e">
        <f>AND(#REF!,"AAAAAFm202I=")</f>
        <v>#REF!</v>
      </c>
      <c r="CV12" t="e">
        <f>AND(#REF!,"AAAAAFm202M=")</f>
        <v>#REF!</v>
      </c>
      <c r="CW12" t="e">
        <f>AND(#REF!,"AAAAAFm202Q=")</f>
        <v>#REF!</v>
      </c>
      <c r="CX12" t="e">
        <f>AND(#REF!,"AAAAAFm202U=")</f>
        <v>#REF!</v>
      </c>
      <c r="CY12" t="e">
        <f>AND(#REF!,"AAAAAFm202Y=")</f>
        <v>#REF!</v>
      </c>
      <c r="CZ12" t="e">
        <f>AND(#REF!,"AAAAAFm202c=")</f>
        <v>#REF!</v>
      </c>
      <c r="DA12" t="e">
        <f>AND(#REF!,"AAAAAFm202g=")</f>
        <v>#REF!</v>
      </c>
      <c r="DB12" t="e">
        <f>AND(#REF!,"AAAAAFm202k=")</f>
        <v>#REF!</v>
      </c>
      <c r="DC12" t="e">
        <f>AND(#REF!,"AAAAAFm202o=")</f>
        <v>#REF!</v>
      </c>
      <c r="DD12" t="e">
        <f>AND(#REF!,"AAAAAFm202s=")</f>
        <v>#REF!</v>
      </c>
      <c r="DE12" t="e">
        <f>AND(#REF!,"AAAAAFm202w=")</f>
        <v>#REF!</v>
      </c>
      <c r="DF12" t="e">
        <f>AND(#REF!,"AAAAAFm2020=")</f>
        <v>#REF!</v>
      </c>
      <c r="DG12" t="e">
        <f>AND(#REF!,"AAAAAFm2024=")</f>
        <v>#REF!</v>
      </c>
      <c r="DH12" t="e">
        <f>AND(#REF!,"AAAAAFm2028=")</f>
        <v>#REF!</v>
      </c>
      <c r="DI12" t="e">
        <f>AND(#REF!,"AAAAAFm203A=")</f>
        <v>#REF!</v>
      </c>
      <c r="DJ12" t="e">
        <f>AND(#REF!,"AAAAAFm203E=")</f>
        <v>#REF!</v>
      </c>
      <c r="DK12" t="e">
        <f>AND(#REF!,"AAAAAFm203I=")</f>
        <v>#REF!</v>
      </c>
      <c r="DL12" t="e">
        <f>AND(#REF!,"AAAAAFm203M=")</f>
        <v>#REF!</v>
      </c>
      <c r="DM12" t="e">
        <f>AND(#REF!,"AAAAAFm203Q=")</f>
        <v>#REF!</v>
      </c>
      <c r="DN12" t="e">
        <f>AND(#REF!,"AAAAAFm203U=")</f>
        <v>#REF!</v>
      </c>
      <c r="DO12" t="e">
        <f>AND(#REF!,"AAAAAFm203Y=")</f>
        <v>#REF!</v>
      </c>
      <c r="DP12" t="e">
        <f>AND(#REF!,"AAAAAFm203c=")</f>
        <v>#REF!</v>
      </c>
      <c r="DQ12" t="e">
        <f>AND(#REF!,"AAAAAFm203g=")</f>
        <v>#REF!</v>
      </c>
      <c r="DR12" t="e">
        <f>AND(#REF!,"AAAAAFm203k=")</f>
        <v>#REF!</v>
      </c>
      <c r="DS12" t="e">
        <f>AND(#REF!,"AAAAAFm203o=")</f>
        <v>#REF!</v>
      </c>
      <c r="DT12" t="e">
        <f>AND(#REF!,"AAAAAFm203s=")</f>
        <v>#REF!</v>
      </c>
      <c r="DU12" t="e">
        <f>AND(#REF!,"AAAAAFm203w=")</f>
        <v>#REF!</v>
      </c>
      <c r="DV12" t="e">
        <f>AND(#REF!,"AAAAAFm2030=")</f>
        <v>#REF!</v>
      </c>
      <c r="DW12" t="e">
        <f>AND(#REF!,"AAAAAFm2034=")</f>
        <v>#REF!</v>
      </c>
      <c r="DX12" t="e">
        <f>AND(#REF!,"AAAAAFm2038=")</f>
        <v>#REF!</v>
      </c>
      <c r="DY12" t="e">
        <f>AND(#REF!,"AAAAAFm204A=")</f>
        <v>#REF!</v>
      </c>
      <c r="DZ12" t="e">
        <f>AND(#REF!,"AAAAAFm204E=")</f>
        <v>#REF!</v>
      </c>
      <c r="EA12" t="e">
        <f>AND(#REF!,"AAAAAFm204I=")</f>
        <v>#REF!</v>
      </c>
      <c r="EB12" t="e">
        <f>AND(#REF!,"AAAAAFm204M=")</f>
        <v>#REF!</v>
      </c>
      <c r="EC12" t="e">
        <f>AND(#REF!,"AAAAAFm204Q=")</f>
        <v>#REF!</v>
      </c>
      <c r="ED12" t="e">
        <f>AND(#REF!,"AAAAAFm204U=")</f>
        <v>#REF!</v>
      </c>
      <c r="EE12" t="e">
        <f>AND(#REF!,"AAAAAFm204Y=")</f>
        <v>#REF!</v>
      </c>
      <c r="EF12" t="e">
        <f>AND(#REF!,"AAAAAFm204c=")</f>
        <v>#REF!</v>
      </c>
      <c r="EG12" t="e">
        <f>AND(#REF!,"AAAAAFm204g=")</f>
        <v>#REF!</v>
      </c>
      <c r="EH12" t="e">
        <f>AND(#REF!,"AAAAAFm204k=")</f>
        <v>#REF!</v>
      </c>
      <c r="EI12" t="e">
        <f>AND(#REF!,"AAAAAFm204o=")</f>
        <v>#REF!</v>
      </c>
      <c r="EJ12" t="e">
        <f>AND(#REF!,"AAAAAFm204s=")</f>
        <v>#REF!</v>
      </c>
      <c r="EK12" t="e">
        <f>AND(#REF!,"AAAAAFm204w=")</f>
        <v>#REF!</v>
      </c>
      <c r="EL12" t="e">
        <f>AND(#REF!,"AAAAAFm2040=")</f>
        <v>#REF!</v>
      </c>
      <c r="EM12" t="e">
        <f>AND(#REF!,"AAAAAFm2044=")</f>
        <v>#REF!</v>
      </c>
      <c r="EN12" t="e">
        <f>AND(#REF!,"AAAAAFm2048=")</f>
        <v>#REF!</v>
      </c>
      <c r="EO12" t="e">
        <f>AND(#REF!,"AAAAAFm205A=")</f>
        <v>#REF!</v>
      </c>
      <c r="EP12" t="e">
        <f>AND(#REF!,"AAAAAFm205E=")</f>
        <v>#REF!</v>
      </c>
      <c r="EQ12" t="e">
        <f>AND(#REF!,"AAAAAFm205I=")</f>
        <v>#REF!</v>
      </c>
      <c r="ER12" t="e">
        <f>AND(#REF!,"AAAAAFm205M=")</f>
        <v>#REF!</v>
      </c>
      <c r="ES12" t="e">
        <f>AND(#REF!,"AAAAAFm205Q=")</f>
        <v>#REF!</v>
      </c>
      <c r="ET12" t="e">
        <f>AND(#REF!,"AAAAAFm205U=")</f>
        <v>#REF!</v>
      </c>
      <c r="EU12" t="e">
        <f>AND(#REF!,"AAAAAFm205Y=")</f>
        <v>#REF!</v>
      </c>
      <c r="EV12" t="e">
        <f>AND(#REF!,"AAAAAFm205c=")</f>
        <v>#REF!</v>
      </c>
      <c r="EW12" t="e">
        <f>AND(#REF!,"AAAAAFm205g=")</f>
        <v>#REF!</v>
      </c>
      <c r="EX12" t="e">
        <f>AND(#REF!,"AAAAAFm205k=")</f>
        <v>#REF!</v>
      </c>
      <c r="EY12" t="e">
        <f>AND(#REF!,"AAAAAFm205o=")</f>
        <v>#REF!</v>
      </c>
      <c r="EZ12" t="e">
        <f>AND(#REF!,"AAAAAFm205s=")</f>
        <v>#REF!</v>
      </c>
      <c r="FA12" t="e">
        <f>AND(#REF!,"AAAAAFm205w=")</f>
        <v>#REF!</v>
      </c>
      <c r="FB12" t="e">
        <f>AND(#REF!,"AAAAAFm2050=")</f>
        <v>#REF!</v>
      </c>
      <c r="FC12" t="e">
        <f>AND(#REF!,"AAAAAFm2054=")</f>
        <v>#REF!</v>
      </c>
      <c r="FD12" t="e">
        <f>AND(#REF!,"AAAAAFm2058=")</f>
        <v>#REF!</v>
      </c>
      <c r="FE12" t="e">
        <f>AND(#REF!,"AAAAAFm206A=")</f>
        <v>#REF!</v>
      </c>
      <c r="FF12" t="e">
        <f>AND(#REF!,"AAAAAFm206E=")</f>
        <v>#REF!</v>
      </c>
      <c r="FG12" t="e">
        <f>AND(#REF!,"AAAAAFm206I=")</f>
        <v>#REF!</v>
      </c>
      <c r="FH12" t="e">
        <f>AND(#REF!,"AAAAAFm206M=")</f>
        <v>#REF!</v>
      </c>
      <c r="FI12" t="e">
        <f>AND(#REF!,"AAAAAFm206Q=")</f>
        <v>#REF!</v>
      </c>
      <c r="FJ12" t="e">
        <f>AND(#REF!,"AAAAAFm206U=")</f>
        <v>#REF!</v>
      </c>
      <c r="FK12" t="e">
        <f>AND(#REF!,"AAAAAFm206Y=")</f>
        <v>#REF!</v>
      </c>
      <c r="FL12" t="e">
        <f>AND(#REF!,"AAAAAFm206c=")</f>
        <v>#REF!</v>
      </c>
      <c r="FM12" t="e">
        <f>AND(#REF!,"AAAAAFm206g=")</f>
        <v>#REF!</v>
      </c>
      <c r="FN12" t="e">
        <f>AND(#REF!,"AAAAAFm206k=")</f>
        <v>#REF!</v>
      </c>
      <c r="FO12" t="e">
        <f>AND(#REF!,"AAAAAFm206o=")</f>
        <v>#REF!</v>
      </c>
      <c r="FP12" t="e">
        <f>AND(#REF!,"AAAAAFm206s=")</f>
        <v>#REF!</v>
      </c>
      <c r="FQ12" t="e">
        <f>AND(#REF!,"AAAAAFm206w=")</f>
        <v>#REF!</v>
      </c>
      <c r="FR12" t="e">
        <f>AND(#REF!,"AAAAAFm2060=")</f>
        <v>#REF!</v>
      </c>
      <c r="FS12" t="e">
        <f>AND(#REF!,"AAAAAFm2064=")</f>
        <v>#REF!</v>
      </c>
      <c r="FT12" t="e">
        <f>AND(#REF!,"AAAAAFm2068=")</f>
        <v>#REF!</v>
      </c>
      <c r="FU12" t="e">
        <f>AND(#REF!,"AAAAAFm207A=")</f>
        <v>#REF!</v>
      </c>
      <c r="FV12" t="e">
        <f>AND(#REF!,"AAAAAFm207E=")</f>
        <v>#REF!</v>
      </c>
      <c r="FW12" t="e">
        <f>AND(#REF!,"AAAAAFm207I=")</f>
        <v>#REF!</v>
      </c>
      <c r="FX12" t="e">
        <f>AND(#REF!,"AAAAAFm207M=")</f>
        <v>#REF!</v>
      </c>
      <c r="FY12" t="e">
        <f>AND(#REF!,"AAAAAFm207Q=")</f>
        <v>#REF!</v>
      </c>
      <c r="FZ12" t="e">
        <f>AND(#REF!,"AAAAAFm207U=")</f>
        <v>#REF!</v>
      </c>
      <c r="GA12" t="e">
        <f>AND(#REF!,"AAAAAFm207Y=")</f>
        <v>#REF!</v>
      </c>
      <c r="GB12" t="e">
        <f>AND(#REF!,"AAAAAFm207c=")</f>
        <v>#REF!</v>
      </c>
      <c r="GC12" t="e">
        <f>AND(#REF!,"AAAAAFm207g=")</f>
        <v>#REF!</v>
      </c>
      <c r="GD12" t="e">
        <f>AND(#REF!,"AAAAAFm207k=")</f>
        <v>#REF!</v>
      </c>
      <c r="GE12" t="e">
        <f>AND(#REF!,"AAAAAFm207o=")</f>
        <v>#REF!</v>
      </c>
      <c r="GF12" t="e">
        <f>AND(#REF!,"AAAAAFm207s=")</f>
        <v>#REF!</v>
      </c>
      <c r="GG12" t="e">
        <f>AND(#REF!,"AAAAAFm207w=")</f>
        <v>#REF!</v>
      </c>
      <c r="GH12" t="e">
        <f>AND(#REF!,"AAAAAFm2070=")</f>
        <v>#REF!</v>
      </c>
      <c r="GI12" t="e">
        <f>AND(#REF!,"AAAAAFm2074=")</f>
        <v>#REF!</v>
      </c>
      <c r="GJ12" t="e">
        <f>AND(#REF!,"AAAAAFm2078=")</f>
        <v>#REF!</v>
      </c>
      <c r="GK12" t="e">
        <f>AND(#REF!,"AAAAAFm208A=")</f>
        <v>#REF!</v>
      </c>
      <c r="GL12" t="e">
        <f>AND(#REF!,"AAAAAFm208E=")</f>
        <v>#REF!</v>
      </c>
      <c r="GM12" t="e">
        <f>AND(#REF!,"AAAAAFm208I=")</f>
        <v>#REF!</v>
      </c>
      <c r="GN12" t="e">
        <f>AND(#REF!,"AAAAAFm208M=")</f>
        <v>#REF!</v>
      </c>
      <c r="GO12" t="e">
        <f>AND(#REF!,"AAAAAFm208Q=")</f>
        <v>#REF!</v>
      </c>
      <c r="GP12" t="e">
        <f>AND(#REF!,"AAAAAFm208U=")</f>
        <v>#REF!</v>
      </c>
      <c r="GQ12" t="e">
        <f>AND(#REF!,"AAAAAFm208Y=")</f>
        <v>#REF!</v>
      </c>
      <c r="GR12" t="e">
        <f>AND(#REF!,"AAAAAFm208c=")</f>
        <v>#REF!</v>
      </c>
      <c r="GS12" t="e">
        <f>AND(#REF!,"AAAAAFm208g=")</f>
        <v>#REF!</v>
      </c>
      <c r="GT12" t="e">
        <f>AND(#REF!,"AAAAAFm208k=")</f>
        <v>#REF!</v>
      </c>
      <c r="GU12" t="e">
        <f>AND(#REF!,"AAAAAFm208o=")</f>
        <v>#REF!</v>
      </c>
      <c r="GV12" t="e">
        <f>AND(#REF!,"AAAAAFm208s=")</f>
        <v>#REF!</v>
      </c>
      <c r="GW12" t="e">
        <f>AND(#REF!,"AAAAAFm208w=")</f>
        <v>#REF!</v>
      </c>
      <c r="GX12" t="e">
        <f>AND(#REF!,"AAAAAFm2080=")</f>
        <v>#REF!</v>
      </c>
      <c r="GY12" t="e">
        <f>AND(#REF!,"AAAAAFm2084=")</f>
        <v>#REF!</v>
      </c>
      <c r="GZ12" t="e">
        <f>AND(#REF!,"AAAAAFm2088=")</f>
        <v>#REF!</v>
      </c>
      <c r="HA12" t="e">
        <f>AND(#REF!,"AAAAAFm209A=")</f>
        <v>#REF!</v>
      </c>
      <c r="HB12" t="e">
        <f>AND(#REF!,"AAAAAFm209E=")</f>
        <v>#REF!</v>
      </c>
      <c r="HC12" t="e">
        <f>AND(#REF!,"AAAAAFm209I=")</f>
        <v>#REF!</v>
      </c>
      <c r="HD12" t="e">
        <f>AND(#REF!,"AAAAAFm209M=")</f>
        <v>#REF!</v>
      </c>
      <c r="HE12" t="e">
        <f>AND(#REF!,"AAAAAFm209Q=")</f>
        <v>#REF!</v>
      </c>
      <c r="HF12" t="e">
        <f>AND(#REF!,"AAAAAFm209U=")</f>
        <v>#REF!</v>
      </c>
      <c r="HG12" t="e">
        <f>AND(#REF!,"AAAAAFm209Y=")</f>
        <v>#REF!</v>
      </c>
      <c r="HH12" t="e">
        <f>AND(#REF!,"AAAAAFm209c=")</f>
        <v>#REF!</v>
      </c>
      <c r="HI12" t="e">
        <f>AND(#REF!,"AAAAAFm209g=")</f>
        <v>#REF!</v>
      </c>
      <c r="HJ12" t="e">
        <f>AND(#REF!,"AAAAAFm209k=")</f>
        <v>#REF!</v>
      </c>
      <c r="HK12" t="e">
        <f>AND(#REF!,"AAAAAFm209o=")</f>
        <v>#REF!</v>
      </c>
      <c r="HL12" t="e">
        <f>AND(#REF!,"AAAAAFm209s=")</f>
        <v>#REF!</v>
      </c>
      <c r="HM12" t="e">
        <f>AND(#REF!,"AAAAAFm209w=")</f>
        <v>#REF!</v>
      </c>
      <c r="HN12" t="e">
        <f>AND(#REF!,"AAAAAFm2090=")</f>
        <v>#REF!</v>
      </c>
      <c r="HO12" t="e">
        <f>AND(#REF!,"AAAAAFm2094=")</f>
        <v>#REF!</v>
      </c>
      <c r="HP12" t="e">
        <f>AND(#REF!,"AAAAAFm2098=")</f>
        <v>#REF!</v>
      </c>
      <c r="HQ12" t="e">
        <f>AND(#REF!,"AAAAAFm20+A=")</f>
        <v>#REF!</v>
      </c>
      <c r="HR12" t="e">
        <f>AND(#REF!,"AAAAAFm20+E=")</f>
        <v>#REF!</v>
      </c>
      <c r="HS12" t="e">
        <f>AND(#REF!,"AAAAAFm20+I=")</f>
        <v>#REF!</v>
      </c>
      <c r="HT12" t="e">
        <f>AND(#REF!,"AAAAAFm20+M=")</f>
        <v>#REF!</v>
      </c>
      <c r="HU12" t="e">
        <f>AND(#REF!,"AAAAAFm20+Q=")</f>
        <v>#REF!</v>
      </c>
      <c r="HV12" t="e">
        <f>AND(#REF!,"AAAAAFm20+U=")</f>
        <v>#REF!</v>
      </c>
      <c r="HW12" t="e">
        <f>AND(#REF!,"AAAAAFm20+Y=")</f>
        <v>#REF!</v>
      </c>
      <c r="HX12" t="e">
        <f>AND(#REF!,"AAAAAFm20+c=")</f>
        <v>#REF!</v>
      </c>
      <c r="HY12" t="e">
        <f>AND(#REF!,"AAAAAFm20+g=")</f>
        <v>#REF!</v>
      </c>
      <c r="HZ12" t="e">
        <f>AND(#REF!,"AAAAAFm20+k=")</f>
        <v>#REF!</v>
      </c>
      <c r="IA12" t="e">
        <f>AND(#REF!,"AAAAAFm20+o=")</f>
        <v>#REF!</v>
      </c>
      <c r="IB12" t="e">
        <f>AND(#REF!,"AAAAAFm20+s=")</f>
        <v>#REF!</v>
      </c>
      <c r="IC12" t="e">
        <f>AND(#REF!,"AAAAAFm20+w=")</f>
        <v>#REF!</v>
      </c>
      <c r="ID12" t="e">
        <f>AND(#REF!,"AAAAAFm20+0=")</f>
        <v>#REF!</v>
      </c>
      <c r="IE12" t="e">
        <f>AND(#REF!,"AAAAAFm20+4=")</f>
        <v>#REF!</v>
      </c>
      <c r="IF12" t="e">
        <f>AND(#REF!,"AAAAAFm20+8=")</f>
        <v>#REF!</v>
      </c>
      <c r="IG12" t="e">
        <f>AND(#REF!,"AAAAAFm20/A=")</f>
        <v>#REF!</v>
      </c>
      <c r="IH12" t="e">
        <f>AND(#REF!,"AAAAAFm20/E=")</f>
        <v>#REF!</v>
      </c>
      <c r="II12" t="e">
        <f>AND(#REF!,"AAAAAFm20/I=")</f>
        <v>#REF!</v>
      </c>
      <c r="IJ12" t="e">
        <f>AND(#REF!,"AAAAAFm20/M=")</f>
        <v>#REF!</v>
      </c>
      <c r="IK12" t="e">
        <f>AND(#REF!,"AAAAAFm20/Q=")</f>
        <v>#REF!</v>
      </c>
      <c r="IL12" t="e">
        <f>AND(#REF!,"AAAAAFm20/U=")</f>
        <v>#REF!</v>
      </c>
      <c r="IM12" t="e">
        <f>AND(#REF!,"AAAAAFm20/Y=")</f>
        <v>#REF!</v>
      </c>
      <c r="IN12" t="e">
        <f>AND(#REF!,"AAAAAFm20/c=")</f>
        <v>#REF!</v>
      </c>
      <c r="IO12" t="e">
        <f>AND(#REF!,"AAAAAFm20/g=")</f>
        <v>#REF!</v>
      </c>
      <c r="IP12" t="e">
        <f>AND(#REF!,"AAAAAFm20/k=")</f>
        <v>#REF!</v>
      </c>
      <c r="IQ12" t="e">
        <f>AND(#REF!,"AAAAAFm20/o=")</f>
        <v>#REF!</v>
      </c>
      <c r="IR12" t="e">
        <f>AND(#REF!,"AAAAAFm20/s=")</f>
        <v>#REF!</v>
      </c>
      <c r="IS12" t="e">
        <f>AND(#REF!,"AAAAAFm20/w=")</f>
        <v>#REF!</v>
      </c>
      <c r="IT12" t="e">
        <f>AND(#REF!,"AAAAAFm20/0=")</f>
        <v>#REF!</v>
      </c>
      <c r="IU12" t="e">
        <f>AND(#REF!,"AAAAAFm20/4=")</f>
        <v>#REF!</v>
      </c>
      <c r="IV12" t="e">
        <f>AND(#REF!,"AAAAAFm20/8=")</f>
        <v>#REF!</v>
      </c>
    </row>
    <row r="13" spans="1:256" x14ac:dyDescent="0.25">
      <c r="A13" t="e">
        <f>AND(#REF!,"AAAAAFv/5wA=")</f>
        <v>#REF!</v>
      </c>
      <c r="B13" t="e">
        <f>AND(#REF!,"AAAAAFv/5wE=")</f>
        <v>#REF!</v>
      </c>
      <c r="C13" t="e">
        <f>AND(#REF!,"AAAAAFv/5wI=")</f>
        <v>#REF!</v>
      </c>
      <c r="D13" t="e">
        <f>AND(#REF!,"AAAAAFv/5wM=")</f>
        <v>#REF!</v>
      </c>
      <c r="E13" t="e">
        <f>AND(#REF!,"AAAAAFv/5wQ=")</f>
        <v>#REF!</v>
      </c>
      <c r="F13" t="e">
        <f>IF(#REF!,"AAAAAFv/5wU=",0)</f>
        <v>#REF!</v>
      </c>
      <c r="G13" t="e">
        <f>AND(#REF!,"AAAAAFv/5wY=")</f>
        <v>#REF!</v>
      </c>
      <c r="H13" t="e">
        <f>AND(#REF!,"AAAAAFv/5wc=")</f>
        <v>#REF!</v>
      </c>
      <c r="I13" t="e">
        <f>AND(#REF!,"AAAAAFv/5wg=")</f>
        <v>#REF!</v>
      </c>
      <c r="J13" t="e">
        <f>AND(#REF!,"AAAAAFv/5wk=")</f>
        <v>#REF!</v>
      </c>
      <c r="K13" t="e">
        <f>AND(#REF!,"AAAAAFv/5wo=")</f>
        <v>#REF!</v>
      </c>
      <c r="L13" t="e">
        <f>AND(#REF!,"AAAAAFv/5ws=")</f>
        <v>#REF!</v>
      </c>
      <c r="M13" t="e">
        <f>AND(#REF!,"AAAAAFv/5ww=")</f>
        <v>#REF!</v>
      </c>
      <c r="N13" t="e">
        <f>AND(#REF!,"AAAAAFv/5w0=")</f>
        <v>#REF!</v>
      </c>
      <c r="O13" t="e">
        <f>AND(#REF!,"AAAAAFv/5w4=")</f>
        <v>#REF!</v>
      </c>
      <c r="P13" t="e">
        <f>AND(#REF!,"AAAAAFv/5w8=")</f>
        <v>#REF!</v>
      </c>
      <c r="Q13" t="e">
        <f>AND(#REF!,"AAAAAFv/5xA=")</f>
        <v>#REF!</v>
      </c>
      <c r="R13" t="e">
        <f>AND(#REF!,"AAAAAFv/5xE=")</f>
        <v>#REF!</v>
      </c>
      <c r="S13" t="e">
        <f>AND(#REF!,"AAAAAFv/5xI=")</f>
        <v>#REF!</v>
      </c>
      <c r="T13" t="e">
        <f>AND(#REF!,"AAAAAFv/5xM=")</f>
        <v>#REF!</v>
      </c>
      <c r="U13" t="e">
        <f>AND(#REF!,"AAAAAFv/5xQ=")</f>
        <v>#REF!</v>
      </c>
      <c r="V13" t="e">
        <f>AND(#REF!,"AAAAAFv/5xU=")</f>
        <v>#REF!</v>
      </c>
      <c r="W13" t="e">
        <f>AND(#REF!,"AAAAAFv/5xY=")</f>
        <v>#REF!</v>
      </c>
      <c r="X13" t="e">
        <f>AND(#REF!,"AAAAAFv/5xc=")</f>
        <v>#REF!</v>
      </c>
      <c r="Y13" t="e">
        <f>AND(#REF!,"AAAAAFv/5xg=")</f>
        <v>#REF!</v>
      </c>
      <c r="Z13" t="e">
        <f>AND(#REF!,"AAAAAFv/5xk=")</f>
        <v>#REF!</v>
      </c>
      <c r="AA13" t="e">
        <f>AND(#REF!,"AAAAAFv/5xo=")</f>
        <v>#REF!</v>
      </c>
      <c r="AB13" t="e">
        <f>AND(#REF!,"AAAAAFv/5xs=")</f>
        <v>#REF!</v>
      </c>
      <c r="AC13" t="e">
        <f>AND(#REF!,"AAAAAFv/5xw=")</f>
        <v>#REF!</v>
      </c>
      <c r="AD13" t="e">
        <f>AND(#REF!,"AAAAAFv/5x0=")</f>
        <v>#REF!</v>
      </c>
      <c r="AE13" t="e">
        <f>AND(#REF!,"AAAAAFv/5x4=")</f>
        <v>#REF!</v>
      </c>
      <c r="AF13" t="e">
        <f>AND(#REF!,"AAAAAFv/5x8=")</f>
        <v>#REF!</v>
      </c>
      <c r="AG13" t="e">
        <f>AND(#REF!,"AAAAAFv/5yA=")</f>
        <v>#REF!</v>
      </c>
      <c r="AH13" t="e">
        <f>AND(#REF!,"AAAAAFv/5yE=")</f>
        <v>#REF!</v>
      </c>
      <c r="AI13" t="e">
        <f>AND(#REF!,"AAAAAFv/5yI=")</f>
        <v>#REF!</v>
      </c>
      <c r="AJ13" t="e">
        <f>AND(#REF!,"AAAAAFv/5yM=")</f>
        <v>#REF!</v>
      </c>
      <c r="AK13" t="e">
        <f>AND(#REF!,"AAAAAFv/5yQ=")</f>
        <v>#REF!</v>
      </c>
      <c r="AL13" t="e">
        <f>AND(#REF!,"AAAAAFv/5yU=")</f>
        <v>#REF!</v>
      </c>
      <c r="AM13" t="e">
        <f>AND(#REF!,"AAAAAFv/5yY=")</f>
        <v>#REF!</v>
      </c>
      <c r="AN13" t="e">
        <f>AND(#REF!,"AAAAAFv/5yc=")</f>
        <v>#REF!</v>
      </c>
      <c r="AO13" t="e">
        <f>AND(#REF!,"AAAAAFv/5yg=")</f>
        <v>#REF!</v>
      </c>
      <c r="AP13" t="e">
        <f>AND(#REF!,"AAAAAFv/5yk=")</f>
        <v>#REF!</v>
      </c>
      <c r="AQ13" t="e">
        <f>AND(#REF!,"AAAAAFv/5yo=")</f>
        <v>#REF!</v>
      </c>
      <c r="AR13" t="e">
        <f>AND(#REF!,"AAAAAFv/5ys=")</f>
        <v>#REF!</v>
      </c>
      <c r="AS13" t="e">
        <f>AND(#REF!,"AAAAAFv/5yw=")</f>
        <v>#REF!</v>
      </c>
      <c r="AT13" t="e">
        <f>AND(#REF!,"AAAAAFv/5y0=")</f>
        <v>#REF!</v>
      </c>
      <c r="AU13" t="e">
        <f>AND(#REF!,"AAAAAFv/5y4=")</f>
        <v>#REF!</v>
      </c>
      <c r="AV13" t="e">
        <f>AND(#REF!,"AAAAAFv/5y8=")</f>
        <v>#REF!</v>
      </c>
      <c r="AW13" t="e">
        <f>AND(#REF!,"AAAAAFv/5zA=")</f>
        <v>#REF!</v>
      </c>
      <c r="AX13" t="e">
        <f>AND(#REF!,"AAAAAFv/5zE=")</f>
        <v>#REF!</v>
      </c>
      <c r="AY13" t="e">
        <f>AND(#REF!,"AAAAAFv/5zI=")</f>
        <v>#REF!</v>
      </c>
      <c r="AZ13" t="e">
        <f>AND(#REF!,"AAAAAFv/5zM=")</f>
        <v>#REF!</v>
      </c>
      <c r="BA13" t="e">
        <f>AND(#REF!,"AAAAAFv/5zQ=")</f>
        <v>#REF!</v>
      </c>
      <c r="BB13" t="e">
        <f>AND(#REF!,"AAAAAFv/5zU=")</f>
        <v>#REF!</v>
      </c>
      <c r="BC13" t="e">
        <f>AND(#REF!,"AAAAAFv/5zY=")</f>
        <v>#REF!</v>
      </c>
      <c r="BD13" t="e">
        <f>AND(#REF!,"AAAAAFv/5zc=")</f>
        <v>#REF!</v>
      </c>
      <c r="BE13" t="e">
        <f>AND(#REF!,"AAAAAFv/5zg=")</f>
        <v>#REF!</v>
      </c>
      <c r="BF13" t="e">
        <f>AND(#REF!,"AAAAAFv/5zk=")</f>
        <v>#REF!</v>
      </c>
      <c r="BG13" t="e">
        <f>AND(#REF!,"AAAAAFv/5zo=")</f>
        <v>#REF!</v>
      </c>
      <c r="BH13" t="e">
        <f>AND(#REF!,"AAAAAFv/5zs=")</f>
        <v>#REF!</v>
      </c>
      <c r="BI13" t="e">
        <f>AND(#REF!,"AAAAAFv/5zw=")</f>
        <v>#REF!</v>
      </c>
      <c r="BJ13" t="e">
        <f>AND(#REF!,"AAAAAFv/5z0=")</f>
        <v>#REF!</v>
      </c>
      <c r="BK13" t="e">
        <f>AND(#REF!,"AAAAAFv/5z4=")</f>
        <v>#REF!</v>
      </c>
      <c r="BL13" t="e">
        <f>AND(#REF!,"AAAAAFv/5z8=")</f>
        <v>#REF!</v>
      </c>
      <c r="BM13" t="e">
        <f>AND(#REF!,"AAAAAFv/50A=")</f>
        <v>#REF!</v>
      </c>
      <c r="BN13" t="e">
        <f>AND(#REF!,"AAAAAFv/50E=")</f>
        <v>#REF!</v>
      </c>
      <c r="BO13" t="e">
        <f>AND(#REF!,"AAAAAFv/50I=")</f>
        <v>#REF!</v>
      </c>
      <c r="BP13" t="e">
        <f>AND(#REF!,"AAAAAFv/50M=")</f>
        <v>#REF!</v>
      </c>
      <c r="BQ13" t="e">
        <f>AND(#REF!,"AAAAAFv/50Q=")</f>
        <v>#REF!</v>
      </c>
      <c r="BR13" t="e">
        <f>AND(#REF!,"AAAAAFv/50U=")</f>
        <v>#REF!</v>
      </c>
      <c r="BS13" t="e">
        <f>AND(#REF!,"AAAAAFv/50Y=")</f>
        <v>#REF!</v>
      </c>
      <c r="BT13" t="e">
        <f>AND(#REF!,"AAAAAFv/50c=")</f>
        <v>#REF!</v>
      </c>
      <c r="BU13" t="e">
        <f>AND(#REF!,"AAAAAFv/50g=")</f>
        <v>#REF!</v>
      </c>
      <c r="BV13" t="e">
        <f>AND(#REF!,"AAAAAFv/50k=")</f>
        <v>#REF!</v>
      </c>
      <c r="BW13" t="e">
        <f>AND(#REF!,"AAAAAFv/50o=")</f>
        <v>#REF!</v>
      </c>
      <c r="BX13" t="e">
        <f>AND(#REF!,"AAAAAFv/50s=")</f>
        <v>#REF!</v>
      </c>
      <c r="BY13" t="e">
        <f>AND(#REF!,"AAAAAFv/50w=")</f>
        <v>#REF!</v>
      </c>
      <c r="BZ13" t="e">
        <f>AND(#REF!,"AAAAAFv/500=")</f>
        <v>#REF!</v>
      </c>
      <c r="CA13" t="e">
        <f>AND(#REF!,"AAAAAFv/504=")</f>
        <v>#REF!</v>
      </c>
      <c r="CB13" t="e">
        <f>AND(#REF!,"AAAAAFv/508=")</f>
        <v>#REF!</v>
      </c>
      <c r="CC13" t="e">
        <f>AND(#REF!,"AAAAAFv/51A=")</f>
        <v>#REF!</v>
      </c>
      <c r="CD13" t="e">
        <f>AND(#REF!,"AAAAAFv/51E=")</f>
        <v>#REF!</v>
      </c>
      <c r="CE13" t="e">
        <f>AND(#REF!,"AAAAAFv/51I=")</f>
        <v>#REF!</v>
      </c>
      <c r="CF13" t="e">
        <f>AND(#REF!,"AAAAAFv/51M=")</f>
        <v>#REF!</v>
      </c>
      <c r="CG13" t="e">
        <f>AND(#REF!,"AAAAAFv/51Q=")</f>
        <v>#REF!</v>
      </c>
      <c r="CH13" t="e">
        <f>AND(#REF!,"AAAAAFv/51U=")</f>
        <v>#REF!</v>
      </c>
      <c r="CI13" t="e">
        <f>AND(#REF!,"AAAAAFv/51Y=")</f>
        <v>#REF!</v>
      </c>
      <c r="CJ13" t="e">
        <f>AND(#REF!,"AAAAAFv/51c=")</f>
        <v>#REF!</v>
      </c>
      <c r="CK13" t="e">
        <f>AND(#REF!,"AAAAAFv/51g=")</f>
        <v>#REF!</v>
      </c>
      <c r="CL13" t="e">
        <f>AND(#REF!,"AAAAAFv/51k=")</f>
        <v>#REF!</v>
      </c>
      <c r="CM13" t="e">
        <f>AND(#REF!,"AAAAAFv/51o=")</f>
        <v>#REF!</v>
      </c>
      <c r="CN13" t="e">
        <f>AND(#REF!,"AAAAAFv/51s=")</f>
        <v>#REF!</v>
      </c>
      <c r="CO13" t="e">
        <f>AND(#REF!,"AAAAAFv/51w=")</f>
        <v>#REF!</v>
      </c>
      <c r="CP13" t="e">
        <f>AND(#REF!,"AAAAAFv/510=")</f>
        <v>#REF!</v>
      </c>
      <c r="CQ13" t="e">
        <f>AND(#REF!,"AAAAAFv/514=")</f>
        <v>#REF!</v>
      </c>
      <c r="CR13" t="e">
        <f>AND(#REF!,"AAAAAFv/518=")</f>
        <v>#REF!</v>
      </c>
      <c r="CS13" t="e">
        <f>AND(#REF!,"AAAAAFv/52A=")</f>
        <v>#REF!</v>
      </c>
      <c r="CT13" t="e">
        <f>AND(#REF!,"AAAAAFv/52E=")</f>
        <v>#REF!</v>
      </c>
      <c r="CU13" t="e">
        <f>AND(#REF!,"AAAAAFv/52I=")</f>
        <v>#REF!</v>
      </c>
      <c r="CV13" t="e">
        <f>AND(#REF!,"AAAAAFv/52M=")</f>
        <v>#REF!</v>
      </c>
      <c r="CW13" t="e">
        <f>AND(#REF!,"AAAAAFv/52Q=")</f>
        <v>#REF!</v>
      </c>
      <c r="CX13" t="e">
        <f>AND(#REF!,"AAAAAFv/52U=")</f>
        <v>#REF!</v>
      </c>
      <c r="CY13" t="e">
        <f>AND(#REF!,"AAAAAFv/52Y=")</f>
        <v>#REF!</v>
      </c>
      <c r="CZ13" t="e">
        <f>AND(#REF!,"AAAAAFv/52c=")</f>
        <v>#REF!</v>
      </c>
      <c r="DA13" t="e">
        <f>AND(#REF!,"AAAAAFv/52g=")</f>
        <v>#REF!</v>
      </c>
      <c r="DB13" t="e">
        <f>AND(#REF!,"AAAAAFv/52k=")</f>
        <v>#REF!</v>
      </c>
      <c r="DC13" t="e">
        <f>AND(#REF!,"AAAAAFv/52o=")</f>
        <v>#REF!</v>
      </c>
      <c r="DD13" t="e">
        <f>AND(#REF!,"AAAAAFv/52s=")</f>
        <v>#REF!</v>
      </c>
      <c r="DE13" t="e">
        <f>AND(#REF!,"AAAAAFv/52w=")</f>
        <v>#REF!</v>
      </c>
      <c r="DF13" t="e">
        <f>AND(#REF!,"AAAAAFv/520=")</f>
        <v>#REF!</v>
      </c>
      <c r="DG13" t="e">
        <f>AND(#REF!,"AAAAAFv/524=")</f>
        <v>#REF!</v>
      </c>
      <c r="DH13" t="e">
        <f>AND(#REF!,"AAAAAFv/528=")</f>
        <v>#REF!</v>
      </c>
      <c r="DI13" t="e">
        <f>AND(#REF!,"AAAAAFv/53A=")</f>
        <v>#REF!</v>
      </c>
      <c r="DJ13" t="e">
        <f>AND(#REF!,"AAAAAFv/53E=")</f>
        <v>#REF!</v>
      </c>
      <c r="DK13" t="e">
        <f>AND(#REF!,"AAAAAFv/53I=")</f>
        <v>#REF!</v>
      </c>
      <c r="DL13" t="e">
        <f>AND(#REF!,"AAAAAFv/53M=")</f>
        <v>#REF!</v>
      </c>
      <c r="DM13" t="e">
        <f>AND(#REF!,"AAAAAFv/53Q=")</f>
        <v>#REF!</v>
      </c>
      <c r="DN13" t="e">
        <f>AND(#REF!,"AAAAAFv/53U=")</f>
        <v>#REF!</v>
      </c>
      <c r="DO13" t="e">
        <f>AND(#REF!,"AAAAAFv/53Y=")</f>
        <v>#REF!</v>
      </c>
      <c r="DP13" t="e">
        <f>AND(#REF!,"AAAAAFv/53c=")</f>
        <v>#REF!</v>
      </c>
      <c r="DQ13" t="e">
        <f>AND(#REF!,"AAAAAFv/53g=")</f>
        <v>#REF!</v>
      </c>
      <c r="DR13" t="e">
        <f>AND(#REF!,"AAAAAFv/53k=")</f>
        <v>#REF!</v>
      </c>
      <c r="DS13" t="e">
        <f>AND(#REF!,"AAAAAFv/53o=")</f>
        <v>#REF!</v>
      </c>
      <c r="DT13" t="e">
        <f>AND(#REF!,"AAAAAFv/53s=")</f>
        <v>#REF!</v>
      </c>
      <c r="DU13" t="e">
        <f>AND(#REF!,"AAAAAFv/53w=")</f>
        <v>#REF!</v>
      </c>
      <c r="DV13" t="e">
        <f>AND(#REF!,"AAAAAFv/530=")</f>
        <v>#REF!</v>
      </c>
      <c r="DW13" t="e">
        <f>AND(#REF!,"AAAAAFv/534=")</f>
        <v>#REF!</v>
      </c>
      <c r="DX13" t="e">
        <f>AND(#REF!,"AAAAAFv/538=")</f>
        <v>#REF!</v>
      </c>
      <c r="DY13" t="e">
        <f>AND(#REF!,"AAAAAFv/54A=")</f>
        <v>#REF!</v>
      </c>
      <c r="DZ13" t="e">
        <f>AND(#REF!,"AAAAAFv/54E=")</f>
        <v>#REF!</v>
      </c>
      <c r="EA13" t="e">
        <f>AND(#REF!,"AAAAAFv/54I=")</f>
        <v>#REF!</v>
      </c>
      <c r="EB13" t="e">
        <f>AND(#REF!,"AAAAAFv/54M=")</f>
        <v>#REF!</v>
      </c>
      <c r="EC13" t="e">
        <f>AND(#REF!,"AAAAAFv/54Q=")</f>
        <v>#REF!</v>
      </c>
      <c r="ED13" t="e">
        <f>AND(#REF!,"AAAAAFv/54U=")</f>
        <v>#REF!</v>
      </c>
      <c r="EE13" t="e">
        <f>AND(#REF!,"AAAAAFv/54Y=")</f>
        <v>#REF!</v>
      </c>
      <c r="EF13" t="e">
        <f>AND(#REF!,"AAAAAFv/54c=")</f>
        <v>#REF!</v>
      </c>
      <c r="EG13" t="e">
        <f>AND(#REF!,"AAAAAFv/54g=")</f>
        <v>#REF!</v>
      </c>
      <c r="EH13" t="e">
        <f>AND(#REF!,"AAAAAFv/54k=")</f>
        <v>#REF!</v>
      </c>
      <c r="EI13" t="e">
        <f>AND(#REF!,"AAAAAFv/54o=")</f>
        <v>#REF!</v>
      </c>
      <c r="EJ13" t="e">
        <f>AND(#REF!,"AAAAAFv/54s=")</f>
        <v>#REF!</v>
      </c>
      <c r="EK13" t="e">
        <f>AND(#REF!,"AAAAAFv/54w=")</f>
        <v>#REF!</v>
      </c>
      <c r="EL13" t="e">
        <f>AND(#REF!,"AAAAAFv/540=")</f>
        <v>#REF!</v>
      </c>
      <c r="EM13" t="e">
        <f>AND(#REF!,"AAAAAFv/544=")</f>
        <v>#REF!</v>
      </c>
      <c r="EN13" t="e">
        <f>AND(#REF!,"AAAAAFv/548=")</f>
        <v>#REF!</v>
      </c>
      <c r="EO13" t="e">
        <f>AND(#REF!,"AAAAAFv/55A=")</f>
        <v>#REF!</v>
      </c>
      <c r="EP13" t="e">
        <f>AND(#REF!,"AAAAAFv/55E=")</f>
        <v>#REF!</v>
      </c>
      <c r="EQ13" t="e">
        <f>AND(#REF!,"AAAAAFv/55I=")</f>
        <v>#REF!</v>
      </c>
      <c r="ER13" t="e">
        <f>AND(#REF!,"AAAAAFv/55M=")</f>
        <v>#REF!</v>
      </c>
      <c r="ES13" t="e">
        <f>AND(#REF!,"AAAAAFv/55Q=")</f>
        <v>#REF!</v>
      </c>
      <c r="ET13" t="e">
        <f>AND(#REF!,"AAAAAFv/55U=")</f>
        <v>#REF!</v>
      </c>
      <c r="EU13" t="e">
        <f>AND(#REF!,"AAAAAFv/55Y=")</f>
        <v>#REF!</v>
      </c>
      <c r="EV13" t="e">
        <f>AND(#REF!,"AAAAAFv/55c=")</f>
        <v>#REF!</v>
      </c>
      <c r="EW13" t="e">
        <f>AND(#REF!,"AAAAAFv/55g=")</f>
        <v>#REF!</v>
      </c>
      <c r="EX13" t="e">
        <f>AND(#REF!,"AAAAAFv/55k=")</f>
        <v>#REF!</v>
      </c>
      <c r="EY13" t="e">
        <f>AND(#REF!,"AAAAAFv/55o=")</f>
        <v>#REF!</v>
      </c>
      <c r="EZ13" t="e">
        <f>AND(#REF!,"AAAAAFv/55s=")</f>
        <v>#REF!</v>
      </c>
      <c r="FA13" t="e">
        <f>AND(#REF!,"AAAAAFv/55w=")</f>
        <v>#REF!</v>
      </c>
      <c r="FB13" t="e">
        <f>AND(#REF!,"AAAAAFv/550=")</f>
        <v>#REF!</v>
      </c>
      <c r="FC13" t="e">
        <f>AND(#REF!,"AAAAAFv/554=")</f>
        <v>#REF!</v>
      </c>
      <c r="FD13" t="e">
        <f>AND(#REF!,"AAAAAFv/558=")</f>
        <v>#REF!</v>
      </c>
      <c r="FE13" t="e">
        <f>AND(#REF!,"AAAAAFv/56A=")</f>
        <v>#REF!</v>
      </c>
      <c r="FF13" t="e">
        <f>AND(#REF!,"AAAAAFv/56E=")</f>
        <v>#REF!</v>
      </c>
      <c r="FG13" t="e">
        <f>AND(#REF!,"AAAAAFv/56I=")</f>
        <v>#REF!</v>
      </c>
      <c r="FH13" t="e">
        <f>AND(#REF!,"AAAAAFv/56M=")</f>
        <v>#REF!</v>
      </c>
      <c r="FI13" t="e">
        <f>AND(#REF!,"AAAAAFv/56Q=")</f>
        <v>#REF!</v>
      </c>
      <c r="FJ13" t="e">
        <f>AND(#REF!,"AAAAAFv/56U=")</f>
        <v>#REF!</v>
      </c>
      <c r="FK13" t="e">
        <f>AND(#REF!,"AAAAAFv/56Y=")</f>
        <v>#REF!</v>
      </c>
      <c r="FL13" t="e">
        <f>AND(#REF!,"AAAAAFv/56c=")</f>
        <v>#REF!</v>
      </c>
      <c r="FM13" t="e">
        <f>AND(#REF!,"AAAAAFv/56g=")</f>
        <v>#REF!</v>
      </c>
      <c r="FN13" t="e">
        <f>AND(#REF!,"AAAAAFv/56k=")</f>
        <v>#REF!</v>
      </c>
      <c r="FO13" t="e">
        <f>AND(#REF!,"AAAAAFv/56o=")</f>
        <v>#REF!</v>
      </c>
      <c r="FP13" t="e">
        <f>AND(#REF!,"AAAAAFv/56s=")</f>
        <v>#REF!</v>
      </c>
      <c r="FQ13" t="e">
        <f>AND(#REF!,"AAAAAFv/56w=")</f>
        <v>#REF!</v>
      </c>
      <c r="FR13" t="e">
        <f>AND(#REF!,"AAAAAFv/560=")</f>
        <v>#REF!</v>
      </c>
      <c r="FS13" t="e">
        <f>AND(#REF!,"AAAAAFv/564=")</f>
        <v>#REF!</v>
      </c>
      <c r="FT13" t="e">
        <f>AND(#REF!,"AAAAAFv/568=")</f>
        <v>#REF!</v>
      </c>
      <c r="FU13" t="e">
        <f>AND(#REF!,"AAAAAFv/57A=")</f>
        <v>#REF!</v>
      </c>
      <c r="FV13" t="e">
        <f>AND(#REF!,"AAAAAFv/57E=")</f>
        <v>#REF!</v>
      </c>
      <c r="FW13" t="e">
        <f>AND(#REF!,"AAAAAFv/57I=")</f>
        <v>#REF!</v>
      </c>
      <c r="FX13" t="e">
        <f>AND(#REF!,"AAAAAFv/57M=")</f>
        <v>#REF!</v>
      </c>
      <c r="FY13" t="e">
        <f>AND(#REF!,"AAAAAFv/57Q=")</f>
        <v>#REF!</v>
      </c>
      <c r="FZ13" t="e">
        <f>AND(#REF!,"AAAAAFv/57U=")</f>
        <v>#REF!</v>
      </c>
      <c r="GA13" t="e">
        <f>AND(#REF!,"AAAAAFv/57Y=")</f>
        <v>#REF!</v>
      </c>
      <c r="GB13" t="e">
        <f>AND(#REF!,"AAAAAFv/57c=")</f>
        <v>#REF!</v>
      </c>
      <c r="GC13" t="e">
        <f>AND(#REF!,"AAAAAFv/57g=")</f>
        <v>#REF!</v>
      </c>
      <c r="GD13" t="e">
        <f>AND(#REF!,"AAAAAFv/57k=")</f>
        <v>#REF!</v>
      </c>
      <c r="GE13" t="e">
        <f>AND(#REF!,"AAAAAFv/57o=")</f>
        <v>#REF!</v>
      </c>
      <c r="GF13" t="e">
        <f>AND(#REF!,"AAAAAFv/57s=")</f>
        <v>#REF!</v>
      </c>
      <c r="GG13" t="e">
        <f>AND(#REF!,"AAAAAFv/57w=")</f>
        <v>#REF!</v>
      </c>
      <c r="GH13" t="e">
        <f>AND(#REF!,"AAAAAFv/570=")</f>
        <v>#REF!</v>
      </c>
      <c r="GI13" t="e">
        <f>AND(#REF!,"AAAAAFv/574=")</f>
        <v>#REF!</v>
      </c>
      <c r="GJ13" t="e">
        <f>AND(#REF!,"AAAAAFv/578=")</f>
        <v>#REF!</v>
      </c>
      <c r="GK13" t="e">
        <f>AND(#REF!,"AAAAAFv/58A=")</f>
        <v>#REF!</v>
      </c>
      <c r="GL13" t="e">
        <f>AND(#REF!,"AAAAAFv/58E=")</f>
        <v>#REF!</v>
      </c>
      <c r="GM13" t="e">
        <f>AND(#REF!,"AAAAAFv/58I=")</f>
        <v>#REF!</v>
      </c>
      <c r="GN13" t="e">
        <f>AND(#REF!,"AAAAAFv/58M=")</f>
        <v>#REF!</v>
      </c>
      <c r="GO13" t="e">
        <f>AND(#REF!,"AAAAAFv/58Q=")</f>
        <v>#REF!</v>
      </c>
      <c r="GP13" t="e">
        <f>AND(#REF!,"AAAAAFv/58U=")</f>
        <v>#REF!</v>
      </c>
      <c r="GQ13" t="e">
        <f>AND(#REF!,"AAAAAFv/58Y=")</f>
        <v>#REF!</v>
      </c>
      <c r="GR13" t="e">
        <f>AND(#REF!,"AAAAAFv/58c=")</f>
        <v>#REF!</v>
      </c>
      <c r="GS13" t="e">
        <f>AND(#REF!,"AAAAAFv/58g=")</f>
        <v>#REF!</v>
      </c>
      <c r="GT13" t="e">
        <f>AND(#REF!,"AAAAAFv/58k=")</f>
        <v>#REF!</v>
      </c>
      <c r="GU13" t="e">
        <f>AND(#REF!,"AAAAAFv/58o=")</f>
        <v>#REF!</v>
      </c>
      <c r="GV13" t="e">
        <f>AND(#REF!,"AAAAAFv/58s=")</f>
        <v>#REF!</v>
      </c>
      <c r="GW13" t="e">
        <f>AND(#REF!,"AAAAAFv/58w=")</f>
        <v>#REF!</v>
      </c>
      <c r="GX13" t="e">
        <f>AND(#REF!,"AAAAAFv/580=")</f>
        <v>#REF!</v>
      </c>
      <c r="GY13" t="e">
        <f>AND(#REF!,"AAAAAFv/584=")</f>
        <v>#REF!</v>
      </c>
      <c r="GZ13" t="e">
        <f>AND(#REF!,"AAAAAFv/588=")</f>
        <v>#REF!</v>
      </c>
      <c r="HA13" t="e">
        <f>AND(#REF!,"AAAAAFv/59A=")</f>
        <v>#REF!</v>
      </c>
      <c r="HB13" t="e">
        <f>AND(#REF!,"AAAAAFv/59E=")</f>
        <v>#REF!</v>
      </c>
      <c r="HC13" t="e">
        <f>AND(#REF!,"AAAAAFv/59I=")</f>
        <v>#REF!</v>
      </c>
      <c r="HD13" t="e">
        <f>AND(#REF!,"AAAAAFv/59M=")</f>
        <v>#REF!</v>
      </c>
      <c r="HE13" t="e">
        <f>AND(#REF!,"AAAAAFv/59Q=")</f>
        <v>#REF!</v>
      </c>
      <c r="HF13" t="e">
        <f>AND(#REF!,"AAAAAFv/59U=")</f>
        <v>#REF!</v>
      </c>
      <c r="HG13" t="e">
        <f>AND(#REF!,"AAAAAFv/59Y=")</f>
        <v>#REF!</v>
      </c>
      <c r="HH13" t="e">
        <f>AND(#REF!,"AAAAAFv/59c=")</f>
        <v>#REF!</v>
      </c>
      <c r="HI13" t="e">
        <f>AND(#REF!,"AAAAAFv/59g=")</f>
        <v>#REF!</v>
      </c>
      <c r="HJ13" t="e">
        <f>AND(#REF!,"AAAAAFv/59k=")</f>
        <v>#REF!</v>
      </c>
      <c r="HK13" t="e">
        <f>AND(#REF!,"AAAAAFv/59o=")</f>
        <v>#REF!</v>
      </c>
      <c r="HL13" t="e">
        <f>AND(#REF!,"AAAAAFv/59s=")</f>
        <v>#REF!</v>
      </c>
      <c r="HM13" t="e">
        <f>AND(#REF!,"AAAAAFv/59w=")</f>
        <v>#REF!</v>
      </c>
      <c r="HN13" t="e">
        <f>AND(#REF!,"AAAAAFv/590=")</f>
        <v>#REF!</v>
      </c>
      <c r="HO13" t="e">
        <f>AND(#REF!,"AAAAAFv/594=")</f>
        <v>#REF!</v>
      </c>
      <c r="HP13" t="e">
        <f>AND(#REF!,"AAAAAFv/598=")</f>
        <v>#REF!</v>
      </c>
      <c r="HQ13" t="e">
        <f>AND(#REF!,"AAAAAFv/5+A=")</f>
        <v>#REF!</v>
      </c>
      <c r="HR13" t="e">
        <f>AND(#REF!,"AAAAAFv/5+E=")</f>
        <v>#REF!</v>
      </c>
      <c r="HS13" t="e">
        <f>AND(#REF!,"AAAAAFv/5+I=")</f>
        <v>#REF!</v>
      </c>
      <c r="HT13" t="e">
        <f>AND(#REF!,"AAAAAFv/5+M=")</f>
        <v>#REF!</v>
      </c>
      <c r="HU13" t="e">
        <f>AND(#REF!,"AAAAAFv/5+Q=")</f>
        <v>#REF!</v>
      </c>
      <c r="HV13" t="e">
        <f>AND(#REF!,"AAAAAFv/5+U=")</f>
        <v>#REF!</v>
      </c>
      <c r="HW13" t="e">
        <f>AND(#REF!,"AAAAAFv/5+Y=")</f>
        <v>#REF!</v>
      </c>
      <c r="HX13" t="e">
        <f>AND(#REF!,"AAAAAFv/5+c=")</f>
        <v>#REF!</v>
      </c>
      <c r="HY13" t="e">
        <f>AND(#REF!,"AAAAAFv/5+g=")</f>
        <v>#REF!</v>
      </c>
      <c r="HZ13" t="e">
        <f>AND(#REF!,"AAAAAFv/5+k=")</f>
        <v>#REF!</v>
      </c>
      <c r="IA13" t="e">
        <f>AND(#REF!,"AAAAAFv/5+o=")</f>
        <v>#REF!</v>
      </c>
      <c r="IB13" t="e">
        <f>AND(#REF!,"AAAAAFv/5+s=")</f>
        <v>#REF!</v>
      </c>
      <c r="IC13" t="e">
        <f>AND(#REF!,"AAAAAFv/5+w=")</f>
        <v>#REF!</v>
      </c>
      <c r="ID13" t="e">
        <f>AND(#REF!,"AAAAAFv/5+0=")</f>
        <v>#REF!</v>
      </c>
      <c r="IE13" t="e">
        <f>AND(#REF!,"AAAAAFv/5+4=")</f>
        <v>#REF!</v>
      </c>
      <c r="IF13" t="e">
        <f>AND(#REF!,"AAAAAFv/5+8=")</f>
        <v>#REF!</v>
      </c>
      <c r="IG13" t="e">
        <f>AND(#REF!,"AAAAAFv/5/A=")</f>
        <v>#REF!</v>
      </c>
      <c r="IH13" t="e">
        <f>AND(#REF!,"AAAAAFv/5/E=")</f>
        <v>#REF!</v>
      </c>
      <c r="II13" t="e">
        <f>AND(#REF!,"AAAAAFv/5/I=")</f>
        <v>#REF!</v>
      </c>
      <c r="IJ13" t="e">
        <f>AND(#REF!,"AAAAAFv/5/M=")</f>
        <v>#REF!</v>
      </c>
      <c r="IK13" t="e">
        <f>AND(#REF!,"AAAAAFv/5/Q=")</f>
        <v>#REF!</v>
      </c>
      <c r="IL13" t="e">
        <f>AND(#REF!,"AAAAAFv/5/U=")</f>
        <v>#REF!</v>
      </c>
      <c r="IM13" t="e">
        <f>AND(#REF!,"AAAAAFv/5/Y=")</f>
        <v>#REF!</v>
      </c>
      <c r="IN13" t="e">
        <f>AND(#REF!,"AAAAAFv/5/c=")</f>
        <v>#REF!</v>
      </c>
      <c r="IO13" t="e">
        <f>AND(#REF!,"AAAAAFv/5/g=")</f>
        <v>#REF!</v>
      </c>
      <c r="IP13" t="e">
        <f>AND(#REF!,"AAAAAFv/5/k=")</f>
        <v>#REF!</v>
      </c>
      <c r="IQ13" t="e">
        <f>AND(#REF!,"AAAAAFv/5/o=")</f>
        <v>#REF!</v>
      </c>
      <c r="IR13" t="e">
        <f>AND(#REF!,"AAAAAFv/5/s=")</f>
        <v>#REF!</v>
      </c>
      <c r="IS13" t="e">
        <f>AND(#REF!,"AAAAAFv/5/w=")</f>
        <v>#REF!</v>
      </c>
      <c r="IT13" t="e">
        <f>AND(#REF!,"AAAAAFv/5/0=")</f>
        <v>#REF!</v>
      </c>
      <c r="IU13" t="e">
        <f>AND(#REF!,"AAAAAFv/5/4=")</f>
        <v>#REF!</v>
      </c>
      <c r="IV13" t="e">
        <f>AND(#REF!,"AAAAAFv/5/8=")</f>
        <v>#REF!</v>
      </c>
    </row>
    <row r="14" spans="1:256" x14ac:dyDescent="0.25">
      <c r="A14" t="e">
        <f>AND(#REF!,"AAAAABPb3wA=")</f>
        <v>#REF!</v>
      </c>
      <c r="B14" t="e">
        <f>AND(#REF!,"AAAAABPb3wE=")</f>
        <v>#REF!</v>
      </c>
      <c r="C14" t="e">
        <f>AND(#REF!,"AAAAABPb3wI=")</f>
        <v>#REF!</v>
      </c>
      <c r="D14" t="e">
        <f>AND(#REF!,"AAAAABPb3wM=")</f>
        <v>#REF!</v>
      </c>
      <c r="E14" t="e">
        <f>AND(#REF!,"AAAAABPb3wQ=")</f>
        <v>#REF!</v>
      </c>
      <c r="F14" t="e">
        <f>AND(#REF!,"AAAAABPb3wU=")</f>
        <v>#REF!</v>
      </c>
      <c r="G14" t="e">
        <f>IF(#REF!,"AAAAABPb3wY=",0)</f>
        <v>#REF!</v>
      </c>
      <c r="H14" t="e">
        <f>AND(#REF!,"AAAAABPb3wc=")</f>
        <v>#REF!</v>
      </c>
      <c r="I14" t="e">
        <f>AND(#REF!,"AAAAABPb3wg=")</f>
        <v>#REF!</v>
      </c>
      <c r="J14" t="e">
        <f>AND(#REF!,"AAAAABPb3wk=")</f>
        <v>#REF!</v>
      </c>
      <c r="K14" t="e">
        <f>AND(#REF!,"AAAAABPb3wo=")</f>
        <v>#REF!</v>
      </c>
      <c r="L14" t="e">
        <f>AND(#REF!,"AAAAABPb3ws=")</f>
        <v>#REF!</v>
      </c>
      <c r="M14" t="e">
        <f>AND(#REF!,"AAAAABPb3ww=")</f>
        <v>#REF!</v>
      </c>
      <c r="N14" t="e">
        <f>AND(#REF!,"AAAAABPb3w0=")</f>
        <v>#REF!</v>
      </c>
      <c r="O14" t="e">
        <f>AND(#REF!,"AAAAABPb3w4=")</f>
        <v>#REF!</v>
      </c>
      <c r="P14" t="e">
        <f>AND(#REF!,"AAAAABPb3w8=")</f>
        <v>#REF!</v>
      </c>
      <c r="Q14" t="e">
        <f>AND(#REF!,"AAAAABPb3xA=")</f>
        <v>#REF!</v>
      </c>
      <c r="R14" t="e">
        <f>AND(#REF!,"AAAAABPb3xE=")</f>
        <v>#REF!</v>
      </c>
      <c r="S14" t="e">
        <f>AND(#REF!,"AAAAABPb3xI=")</f>
        <v>#REF!</v>
      </c>
      <c r="T14" t="e">
        <f>AND(#REF!,"AAAAABPb3xM=")</f>
        <v>#REF!</v>
      </c>
      <c r="U14" t="e">
        <f>AND(#REF!,"AAAAABPb3xQ=")</f>
        <v>#REF!</v>
      </c>
      <c r="V14" t="e">
        <f>AND(#REF!,"AAAAABPb3xU=")</f>
        <v>#REF!</v>
      </c>
      <c r="W14" t="e">
        <f>AND(#REF!,"AAAAABPb3xY=")</f>
        <v>#REF!</v>
      </c>
      <c r="X14" t="e">
        <f>AND(#REF!,"AAAAABPb3xc=")</f>
        <v>#REF!</v>
      </c>
      <c r="Y14" t="e">
        <f>AND(#REF!,"AAAAABPb3xg=")</f>
        <v>#REF!</v>
      </c>
      <c r="Z14" t="e">
        <f>AND(#REF!,"AAAAABPb3xk=")</f>
        <v>#REF!</v>
      </c>
      <c r="AA14" t="e">
        <f>AND(#REF!,"AAAAABPb3xo=")</f>
        <v>#REF!</v>
      </c>
      <c r="AB14" t="e">
        <f>AND(#REF!,"AAAAABPb3xs=")</f>
        <v>#REF!</v>
      </c>
      <c r="AC14" t="e">
        <f>AND(#REF!,"AAAAABPb3xw=")</f>
        <v>#REF!</v>
      </c>
      <c r="AD14" t="e">
        <f>AND(#REF!,"AAAAABPb3x0=")</f>
        <v>#REF!</v>
      </c>
      <c r="AE14" t="e">
        <f>AND(#REF!,"AAAAABPb3x4=")</f>
        <v>#REF!</v>
      </c>
      <c r="AF14" t="e">
        <f>AND(#REF!,"AAAAABPb3x8=")</f>
        <v>#REF!</v>
      </c>
      <c r="AG14" t="e">
        <f>AND(#REF!,"AAAAABPb3yA=")</f>
        <v>#REF!</v>
      </c>
      <c r="AH14" t="e">
        <f>AND(#REF!,"AAAAABPb3yE=")</f>
        <v>#REF!</v>
      </c>
      <c r="AI14" t="e">
        <f>AND(#REF!,"AAAAABPb3yI=")</f>
        <v>#REF!</v>
      </c>
      <c r="AJ14" t="e">
        <f>AND(#REF!,"AAAAABPb3yM=")</f>
        <v>#REF!</v>
      </c>
      <c r="AK14" t="e">
        <f>AND(#REF!,"AAAAABPb3yQ=")</f>
        <v>#REF!</v>
      </c>
      <c r="AL14" t="e">
        <f>AND(#REF!,"AAAAABPb3yU=")</f>
        <v>#REF!</v>
      </c>
      <c r="AM14" t="e">
        <f>AND(#REF!,"AAAAABPb3yY=")</f>
        <v>#REF!</v>
      </c>
      <c r="AN14" t="e">
        <f>AND(#REF!,"AAAAABPb3yc=")</f>
        <v>#REF!</v>
      </c>
      <c r="AO14" t="e">
        <f>AND(#REF!,"AAAAABPb3yg=")</f>
        <v>#REF!</v>
      </c>
      <c r="AP14" t="e">
        <f>AND(#REF!,"AAAAABPb3yk=")</f>
        <v>#REF!</v>
      </c>
      <c r="AQ14" t="e">
        <f>AND(#REF!,"AAAAABPb3yo=")</f>
        <v>#REF!</v>
      </c>
      <c r="AR14" t="e">
        <f>AND(#REF!,"AAAAABPb3ys=")</f>
        <v>#REF!</v>
      </c>
      <c r="AS14" t="e">
        <f>AND(#REF!,"AAAAABPb3yw=")</f>
        <v>#REF!</v>
      </c>
      <c r="AT14" t="e">
        <f>AND(#REF!,"AAAAABPb3y0=")</f>
        <v>#REF!</v>
      </c>
      <c r="AU14" t="e">
        <f>AND(#REF!,"AAAAABPb3y4=")</f>
        <v>#REF!</v>
      </c>
      <c r="AV14" t="e">
        <f>AND(#REF!,"AAAAABPb3y8=")</f>
        <v>#REF!</v>
      </c>
      <c r="AW14" t="e">
        <f>AND(#REF!,"AAAAABPb3zA=")</f>
        <v>#REF!</v>
      </c>
      <c r="AX14" t="e">
        <f>AND(#REF!,"AAAAABPb3zE=")</f>
        <v>#REF!</v>
      </c>
      <c r="AY14" t="e">
        <f>AND(#REF!,"AAAAABPb3zI=")</f>
        <v>#REF!</v>
      </c>
      <c r="AZ14" t="e">
        <f>AND(#REF!,"AAAAABPb3zM=")</f>
        <v>#REF!</v>
      </c>
      <c r="BA14" t="e">
        <f>AND(#REF!,"AAAAABPb3zQ=")</f>
        <v>#REF!</v>
      </c>
      <c r="BB14" t="e">
        <f>AND(#REF!,"AAAAABPb3zU=")</f>
        <v>#REF!</v>
      </c>
      <c r="BC14" t="e">
        <f>AND(#REF!,"AAAAABPb3zY=")</f>
        <v>#REF!</v>
      </c>
      <c r="BD14" t="e">
        <f>AND(#REF!,"AAAAABPb3zc=")</f>
        <v>#REF!</v>
      </c>
      <c r="BE14" t="e">
        <f>AND(#REF!,"AAAAABPb3zg=")</f>
        <v>#REF!</v>
      </c>
      <c r="BF14" t="e">
        <f>AND(#REF!,"AAAAABPb3zk=")</f>
        <v>#REF!</v>
      </c>
      <c r="BG14" t="e">
        <f>AND(#REF!,"AAAAABPb3zo=")</f>
        <v>#REF!</v>
      </c>
      <c r="BH14" t="e">
        <f>AND(#REF!,"AAAAABPb3zs=")</f>
        <v>#REF!</v>
      </c>
      <c r="BI14" t="e">
        <f>AND(#REF!,"AAAAABPb3zw=")</f>
        <v>#REF!</v>
      </c>
      <c r="BJ14" t="e">
        <f>AND(#REF!,"AAAAABPb3z0=")</f>
        <v>#REF!</v>
      </c>
      <c r="BK14" t="e">
        <f>AND(#REF!,"AAAAABPb3z4=")</f>
        <v>#REF!</v>
      </c>
      <c r="BL14" t="e">
        <f>AND(#REF!,"AAAAABPb3z8=")</f>
        <v>#REF!</v>
      </c>
      <c r="BM14" t="e">
        <f>AND(#REF!,"AAAAABPb30A=")</f>
        <v>#REF!</v>
      </c>
      <c r="BN14" t="e">
        <f>AND(#REF!,"AAAAABPb30E=")</f>
        <v>#REF!</v>
      </c>
      <c r="BO14" t="e">
        <f>AND(#REF!,"AAAAABPb30I=")</f>
        <v>#REF!</v>
      </c>
      <c r="BP14" t="e">
        <f>AND(#REF!,"AAAAABPb30M=")</f>
        <v>#REF!</v>
      </c>
      <c r="BQ14" t="e">
        <f>AND(#REF!,"AAAAABPb30Q=")</f>
        <v>#REF!</v>
      </c>
      <c r="BR14" t="e">
        <f>AND(#REF!,"AAAAABPb30U=")</f>
        <v>#REF!</v>
      </c>
      <c r="BS14" t="e">
        <f>AND(#REF!,"AAAAABPb30Y=")</f>
        <v>#REF!</v>
      </c>
      <c r="BT14" t="e">
        <f>AND(#REF!,"AAAAABPb30c=")</f>
        <v>#REF!</v>
      </c>
      <c r="BU14" t="e">
        <f>AND(#REF!,"AAAAABPb30g=")</f>
        <v>#REF!</v>
      </c>
      <c r="BV14" t="e">
        <f>AND(#REF!,"AAAAABPb30k=")</f>
        <v>#REF!</v>
      </c>
      <c r="BW14" t="e">
        <f>AND(#REF!,"AAAAABPb30o=")</f>
        <v>#REF!</v>
      </c>
      <c r="BX14" t="e">
        <f>AND(#REF!,"AAAAABPb30s=")</f>
        <v>#REF!</v>
      </c>
      <c r="BY14" t="e">
        <f>AND(#REF!,"AAAAABPb30w=")</f>
        <v>#REF!</v>
      </c>
      <c r="BZ14" t="e">
        <f>AND(#REF!,"AAAAABPb300=")</f>
        <v>#REF!</v>
      </c>
      <c r="CA14" t="e">
        <f>AND(#REF!,"AAAAABPb304=")</f>
        <v>#REF!</v>
      </c>
      <c r="CB14" t="e">
        <f>AND(#REF!,"AAAAABPb308=")</f>
        <v>#REF!</v>
      </c>
      <c r="CC14" t="e">
        <f>AND(#REF!,"AAAAABPb31A=")</f>
        <v>#REF!</v>
      </c>
      <c r="CD14" t="e">
        <f>AND(#REF!,"AAAAABPb31E=")</f>
        <v>#REF!</v>
      </c>
      <c r="CE14" t="e">
        <f>AND(#REF!,"AAAAABPb31I=")</f>
        <v>#REF!</v>
      </c>
      <c r="CF14" t="e">
        <f>AND(#REF!,"AAAAABPb31M=")</f>
        <v>#REF!</v>
      </c>
      <c r="CG14" t="e">
        <f>AND(#REF!,"AAAAABPb31Q=")</f>
        <v>#REF!</v>
      </c>
      <c r="CH14" t="e">
        <f>AND(#REF!,"AAAAABPb31U=")</f>
        <v>#REF!</v>
      </c>
      <c r="CI14" t="e">
        <f>AND(#REF!,"AAAAABPb31Y=")</f>
        <v>#REF!</v>
      </c>
      <c r="CJ14" t="e">
        <f>AND(#REF!,"AAAAABPb31c=")</f>
        <v>#REF!</v>
      </c>
      <c r="CK14" t="e">
        <f>AND(#REF!,"AAAAABPb31g=")</f>
        <v>#REF!</v>
      </c>
      <c r="CL14" t="e">
        <f>AND(#REF!,"AAAAABPb31k=")</f>
        <v>#REF!</v>
      </c>
      <c r="CM14" t="e">
        <f>AND(#REF!,"AAAAABPb31o=")</f>
        <v>#REF!</v>
      </c>
      <c r="CN14" t="e">
        <f>AND(#REF!,"AAAAABPb31s=")</f>
        <v>#REF!</v>
      </c>
      <c r="CO14" t="e">
        <f>AND(#REF!,"AAAAABPb31w=")</f>
        <v>#REF!</v>
      </c>
      <c r="CP14" t="e">
        <f>AND(#REF!,"AAAAABPb310=")</f>
        <v>#REF!</v>
      </c>
      <c r="CQ14" t="e">
        <f>AND(#REF!,"AAAAABPb314=")</f>
        <v>#REF!</v>
      </c>
      <c r="CR14" t="e">
        <f>AND(#REF!,"AAAAABPb318=")</f>
        <v>#REF!</v>
      </c>
      <c r="CS14" t="e">
        <f>AND(#REF!,"AAAAABPb32A=")</f>
        <v>#REF!</v>
      </c>
      <c r="CT14" t="e">
        <f>AND(#REF!,"AAAAABPb32E=")</f>
        <v>#REF!</v>
      </c>
      <c r="CU14" t="e">
        <f>AND(#REF!,"AAAAABPb32I=")</f>
        <v>#REF!</v>
      </c>
      <c r="CV14" t="e">
        <f>AND(#REF!,"AAAAABPb32M=")</f>
        <v>#REF!</v>
      </c>
      <c r="CW14" t="e">
        <f>AND(#REF!,"AAAAABPb32Q=")</f>
        <v>#REF!</v>
      </c>
      <c r="CX14" t="e">
        <f>AND(#REF!,"AAAAABPb32U=")</f>
        <v>#REF!</v>
      </c>
      <c r="CY14" t="e">
        <f>AND(#REF!,"AAAAABPb32Y=")</f>
        <v>#REF!</v>
      </c>
      <c r="CZ14" t="e">
        <f>AND(#REF!,"AAAAABPb32c=")</f>
        <v>#REF!</v>
      </c>
      <c r="DA14" t="e">
        <f>AND(#REF!,"AAAAABPb32g=")</f>
        <v>#REF!</v>
      </c>
      <c r="DB14" t="e">
        <f>AND(#REF!,"AAAAABPb32k=")</f>
        <v>#REF!</v>
      </c>
      <c r="DC14" t="e">
        <f>AND(#REF!,"AAAAABPb32o=")</f>
        <v>#REF!</v>
      </c>
      <c r="DD14" t="e">
        <f>AND(#REF!,"AAAAABPb32s=")</f>
        <v>#REF!</v>
      </c>
      <c r="DE14" t="e">
        <f>AND(#REF!,"AAAAABPb32w=")</f>
        <v>#REF!</v>
      </c>
      <c r="DF14" t="e">
        <f>AND(#REF!,"AAAAABPb320=")</f>
        <v>#REF!</v>
      </c>
      <c r="DG14" t="e">
        <f>AND(#REF!,"AAAAABPb324=")</f>
        <v>#REF!</v>
      </c>
      <c r="DH14" t="e">
        <f>AND(#REF!,"AAAAABPb328=")</f>
        <v>#REF!</v>
      </c>
      <c r="DI14" t="e">
        <f>AND(#REF!,"AAAAABPb33A=")</f>
        <v>#REF!</v>
      </c>
      <c r="DJ14" t="e">
        <f>AND(#REF!,"AAAAABPb33E=")</f>
        <v>#REF!</v>
      </c>
      <c r="DK14" t="e">
        <f>AND(#REF!,"AAAAABPb33I=")</f>
        <v>#REF!</v>
      </c>
      <c r="DL14" t="e">
        <f>AND(#REF!,"AAAAABPb33M=")</f>
        <v>#REF!</v>
      </c>
      <c r="DM14" t="e">
        <f>AND(#REF!,"AAAAABPb33Q=")</f>
        <v>#REF!</v>
      </c>
      <c r="DN14" t="e">
        <f>AND(#REF!,"AAAAABPb33U=")</f>
        <v>#REF!</v>
      </c>
      <c r="DO14" t="e">
        <f>AND(#REF!,"AAAAABPb33Y=")</f>
        <v>#REF!</v>
      </c>
      <c r="DP14" t="e">
        <f>AND(#REF!,"AAAAABPb33c=")</f>
        <v>#REF!</v>
      </c>
      <c r="DQ14" t="e">
        <f>AND(#REF!,"AAAAABPb33g=")</f>
        <v>#REF!</v>
      </c>
      <c r="DR14" t="e">
        <f>AND(#REF!,"AAAAABPb33k=")</f>
        <v>#REF!</v>
      </c>
      <c r="DS14" t="e">
        <f>AND(#REF!,"AAAAABPb33o=")</f>
        <v>#REF!</v>
      </c>
      <c r="DT14" t="e">
        <f>AND(#REF!,"AAAAABPb33s=")</f>
        <v>#REF!</v>
      </c>
      <c r="DU14" t="e">
        <f>AND(#REF!,"AAAAABPb33w=")</f>
        <v>#REF!</v>
      </c>
      <c r="DV14" t="e">
        <f>AND(#REF!,"AAAAABPb330=")</f>
        <v>#REF!</v>
      </c>
      <c r="DW14" t="e">
        <f>AND(#REF!,"AAAAABPb334=")</f>
        <v>#REF!</v>
      </c>
      <c r="DX14" t="e">
        <f>AND(#REF!,"AAAAABPb338=")</f>
        <v>#REF!</v>
      </c>
      <c r="DY14" t="e">
        <f>AND(#REF!,"AAAAABPb34A=")</f>
        <v>#REF!</v>
      </c>
      <c r="DZ14" t="e">
        <f>AND(#REF!,"AAAAABPb34E=")</f>
        <v>#REF!</v>
      </c>
      <c r="EA14" t="e">
        <f>AND(#REF!,"AAAAABPb34I=")</f>
        <v>#REF!</v>
      </c>
      <c r="EB14" t="e">
        <f>AND(#REF!,"AAAAABPb34M=")</f>
        <v>#REF!</v>
      </c>
      <c r="EC14" t="e">
        <f>AND(#REF!,"AAAAABPb34Q=")</f>
        <v>#REF!</v>
      </c>
      <c r="ED14" t="e">
        <f>AND(#REF!,"AAAAABPb34U=")</f>
        <v>#REF!</v>
      </c>
      <c r="EE14" t="e">
        <f>AND(#REF!,"AAAAABPb34Y=")</f>
        <v>#REF!</v>
      </c>
      <c r="EF14" t="e">
        <f>AND(#REF!,"AAAAABPb34c=")</f>
        <v>#REF!</v>
      </c>
      <c r="EG14" t="e">
        <f>AND(#REF!,"AAAAABPb34g=")</f>
        <v>#REF!</v>
      </c>
      <c r="EH14" t="e">
        <f>AND(#REF!,"AAAAABPb34k=")</f>
        <v>#REF!</v>
      </c>
      <c r="EI14" t="e">
        <f>AND(#REF!,"AAAAABPb34o=")</f>
        <v>#REF!</v>
      </c>
      <c r="EJ14" t="e">
        <f>AND(#REF!,"AAAAABPb34s=")</f>
        <v>#REF!</v>
      </c>
      <c r="EK14" t="e">
        <f>AND(#REF!,"AAAAABPb34w=")</f>
        <v>#REF!</v>
      </c>
      <c r="EL14" t="e">
        <f>AND(#REF!,"AAAAABPb340=")</f>
        <v>#REF!</v>
      </c>
      <c r="EM14" t="e">
        <f>AND(#REF!,"AAAAABPb344=")</f>
        <v>#REF!</v>
      </c>
      <c r="EN14" t="e">
        <f>AND(#REF!,"AAAAABPb348=")</f>
        <v>#REF!</v>
      </c>
      <c r="EO14" t="e">
        <f>AND(#REF!,"AAAAABPb35A=")</f>
        <v>#REF!</v>
      </c>
      <c r="EP14" t="e">
        <f>AND(#REF!,"AAAAABPb35E=")</f>
        <v>#REF!</v>
      </c>
      <c r="EQ14" t="e">
        <f>AND(#REF!,"AAAAABPb35I=")</f>
        <v>#REF!</v>
      </c>
      <c r="ER14" t="e">
        <f>AND(#REF!,"AAAAABPb35M=")</f>
        <v>#REF!</v>
      </c>
      <c r="ES14" t="e">
        <f>AND(#REF!,"AAAAABPb35Q=")</f>
        <v>#REF!</v>
      </c>
      <c r="ET14" t="e">
        <f>AND(#REF!,"AAAAABPb35U=")</f>
        <v>#REF!</v>
      </c>
      <c r="EU14" t="e">
        <f>AND(#REF!,"AAAAABPb35Y=")</f>
        <v>#REF!</v>
      </c>
      <c r="EV14" t="e">
        <f>AND(#REF!,"AAAAABPb35c=")</f>
        <v>#REF!</v>
      </c>
      <c r="EW14" t="e">
        <f>AND(#REF!,"AAAAABPb35g=")</f>
        <v>#REF!</v>
      </c>
      <c r="EX14" t="e">
        <f>AND(#REF!,"AAAAABPb35k=")</f>
        <v>#REF!</v>
      </c>
      <c r="EY14" t="e">
        <f>AND(#REF!,"AAAAABPb35o=")</f>
        <v>#REF!</v>
      </c>
      <c r="EZ14" t="e">
        <f>AND(#REF!,"AAAAABPb35s=")</f>
        <v>#REF!</v>
      </c>
      <c r="FA14" t="e">
        <f>AND(#REF!,"AAAAABPb35w=")</f>
        <v>#REF!</v>
      </c>
      <c r="FB14" t="e">
        <f>AND(#REF!,"AAAAABPb350=")</f>
        <v>#REF!</v>
      </c>
      <c r="FC14" t="e">
        <f>AND(#REF!,"AAAAABPb354=")</f>
        <v>#REF!</v>
      </c>
      <c r="FD14" t="e">
        <f>AND(#REF!,"AAAAABPb358=")</f>
        <v>#REF!</v>
      </c>
      <c r="FE14" t="e">
        <f>AND(#REF!,"AAAAABPb36A=")</f>
        <v>#REF!</v>
      </c>
      <c r="FF14" t="e">
        <f>AND(#REF!,"AAAAABPb36E=")</f>
        <v>#REF!</v>
      </c>
      <c r="FG14" t="e">
        <f>AND(#REF!,"AAAAABPb36I=")</f>
        <v>#REF!</v>
      </c>
      <c r="FH14" t="e">
        <f>AND(#REF!,"AAAAABPb36M=")</f>
        <v>#REF!</v>
      </c>
      <c r="FI14" t="e">
        <f>AND(#REF!,"AAAAABPb36Q=")</f>
        <v>#REF!</v>
      </c>
      <c r="FJ14" t="e">
        <f>AND(#REF!,"AAAAABPb36U=")</f>
        <v>#REF!</v>
      </c>
      <c r="FK14" t="e">
        <f>AND(#REF!,"AAAAABPb36Y=")</f>
        <v>#REF!</v>
      </c>
      <c r="FL14" t="e">
        <f>AND(#REF!,"AAAAABPb36c=")</f>
        <v>#REF!</v>
      </c>
      <c r="FM14" t="e">
        <f>AND(#REF!,"AAAAABPb36g=")</f>
        <v>#REF!</v>
      </c>
      <c r="FN14" t="e">
        <f>AND(#REF!,"AAAAABPb36k=")</f>
        <v>#REF!</v>
      </c>
      <c r="FO14" t="e">
        <f>AND(#REF!,"AAAAABPb36o=")</f>
        <v>#REF!</v>
      </c>
      <c r="FP14" t="e">
        <f>AND(#REF!,"AAAAABPb36s=")</f>
        <v>#REF!</v>
      </c>
      <c r="FQ14" t="e">
        <f>AND(#REF!,"AAAAABPb36w=")</f>
        <v>#REF!</v>
      </c>
      <c r="FR14" t="e">
        <f>AND(#REF!,"AAAAABPb360=")</f>
        <v>#REF!</v>
      </c>
      <c r="FS14" t="e">
        <f>AND(#REF!,"AAAAABPb364=")</f>
        <v>#REF!</v>
      </c>
      <c r="FT14" t="e">
        <f>AND(#REF!,"AAAAABPb368=")</f>
        <v>#REF!</v>
      </c>
      <c r="FU14" t="e">
        <f>AND(#REF!,"AAAAABPb37A=")</f>
        <v>#REF!</v>
      </c>
      <c r="FV14" t="e">
        <f>AND(#REF!,"AAAAABPb37E=")</f>
        <v>#REF!</v>
      </c>
      <c r="FW14" t="e">
        <f>AND(#REF!,"AAAAABPb37I=")</f>
        <v>#REF!</v>
      </c>
      <c r="FX14" t="e">
        <f>AND(#REF!,"AAAAABPb37M=")</f>
        <v>#REF!</v>
      </c>
      <c r="FY14" t="e">
        <f>AND(#REF!,"AAAAABPb37Q=")</f>
        <v>#REF!</v>
      </c>
      <c r="FZ14" t="e">
        <f>AND(#REF!,"AAAAABPb37U=")</f>
        <v>#REF!</v>
      </c>
      <c r="GA14" t="e">
        <f>AND(#REF!,"AAAAABPb37Y=")</f>
        <v>#REF!</v>
      </c>
      <c r="GB14" t="e">
        <f>AND(#REF!,"AAAAABPb37c=")</f>
        <v>#REF!</v>
      </c>
      <c r="GC14" t="e">
        <f>AND(#REF!,"AAAAABPb37g=")</f>
        <v>#REF!</v>
      </c>
      <c r="GD14" t="e">
        <f>AND(#REF!,"AAAAABPb37k=")</f>
        <v>#REF!</v>
      </c>
      <c r="GE14" t="e">
        <f>AND(#REF!,"AAAAABPb37o=")</f>
        <v>#REF!</v>
      </c>
      <c r="GF14" t="e">
        <f>AND(#REF!,"AAAAABPb37s=")</f>
        <v>#REF!</v>
      </c>
      <c r="GG14" t="e">
        <f>AND(#REF!,"AAAAABPb37w=")</f>
        <v>#REF!</v>
      </c>
      <c r="GH14" t="e">
        <f>AND(#REF!,"AAAAABPb370=")</f>
        <v>#REF!</v>
      </c>
      <c r="GI14" t="e">
        <f>AND(#REF!,"AAAAABPb374=")</f>
        <v>#REF!</v>
      </c>
      <c r="GJ14" t="e">
        <f>AND(#REF!,"AAAAABPb378=")</f>
        <v>#REF!</v>
      </c>
      <c r="GK14" t="e">
        <f>AND(#REF!,"AAAAABPb38A=")</f>
        <v>#REF!</v>
      </c>
      <c r="GL14" t="e">
        <f>AND(#REF!,"AAAAABPb38E=")</f>
        <v>#REF!</v>
      </c>
      <c r="GM14" t="e">
        <f>AND(#REF!,"AAAAABPb38I=")</f>
        <v>#REF!</v>
      </c>
      <c r="GN14" t="e">
        <f>AND(#REF!,"AAAAABPb38M=")</f>
        <v>#REF!</v>
      </c>
      <c r="GO14" t="e">
        <f>AND(#REF!,"AAAAABPb38Q=")</f>
        <v>#REF!</v>
      </c>
      <c r="GP14" t="e">
        <f>AND(#REF!,"AAAAABPb38U=")</f>
        <v>#REF!</v>
      </c>
      <c r="GQ14" t="e">
        <f>AND(#REF!,"AAAAABPb38Y=")</f>
        <v>#REF!</v>
      </c>
      <c r="GR14" t="e">
        <f>AND(#REF!,"AAAAABPb38c=")</f>
        <v>#REF!</v>
      </c>
      <c r="GS14" t="e">
        <f>AND(#REF!,"AAAAABPb38g=")</f>
        <v>#REF!</v>
      </c>
      <c r="GT14" t="e">
        <f>AND(#REF!,"AAAAABPb38k=")</f>
        <v>#REF!</v>
      </c>
      <c r="GU14" t="e">
        <f>AND(#REF!,"AAAAABPb38o=")</f>
        <v>#REF!</v>
      </c>
      <c r="GV14" t="e">
        <f>AND(#REF!,"AAAAABPb38s=")</f>
        <v>#REF!</v>
      </c>
      <c r="GW14" t="e">
        <f>AND(#REF!,"AAAAABPb38w=")</f>
        <v>#REF!</v>
      </c>
      <c r="GX14" t="e">
        <f>AND(#REF!,"AAAAABPb380=")</f>
        <v>#REF!</v>
      </c>
      <c r="GY14" t="e">
        <f>AND(#REF!,"AAAAABPb384=")</f>
        <v>#REF!</v>
      </c>
      <c r="GZ14" t="e">
        <f>AND(#REF!,"AAAAABPb388=")</f>
        <v>#REF!</v>
      </c>
      <c r="HA14" t="e">
        <f>AND(#REF!,"AAAAABPb39A=")</f>
        <v>#REF!</v>
      </c>
      <c r="HB14" t="e">
        <f>AND(#REF!,"AAAAABPb39E=")</f>
        <v>#REF!</v>
      </c>
      <c r="HC14" t="e">
        <f>AND(#REF!,"AAAAABPb39I=")</f>
        <v>#REF!</v>
      </c>
      <c r="HD14" t="e">
        <f>AND(#REF!,"AAAAABPb39M=")</f>
        <v>#REF!</v>
      </c>
      <c r="HE14" t="e">
        <f>AND(#REF!,"AAAAABPb39Q=")</f>
        <v>#REF!</v>
      </c>
      <c r="HF14" t="e">
        <f>AND(#REF!,"AAAAABPb39U=")</f>
        <v>#REF!</v>
      </c>
      <c r="HG14" t="e">
        <f>AND(#REF!,"AAAAABPb39Y=")</f>
        <v>#REF!</v>
      </c>
      <c r="HH14" t="e">
        <f>AND(#REF!,"AAAAABPb39c=")</f>
        <v>#REF!</v>
      </c>
      <c r="HI14" t="e">
        <f>AND(#REF!,"AAAAABPb39g=")</f>
        <v>#REF!</v>
      </c>
      <c r="HJ14" t="e">
        <f>AND(#REF!,"AAAAABPb39k=")</f>
        <v>#REF!</v>
      </c>
      <c r="HK14" t="e">
        <f>AND(#REF!,"AAAAABPb39o=")</f>
        <v>#REF!</v>
      </c>
      <c r="HL14" t="e">
        <f>AND(#REF!,"AAAAABPb39s=")</f>
        <v>#REF!</v>
      </c>
      <c r="HM14" t="e">
        <f>AND(#REF!,"AAAAABPb39w=")</f>
        <v>#REF!</v>
      </c>
      <c r="HN14" t="e">
        <f>AND(#REF!,"AAAAABPb390=")</f>
        <v>#REF!</v>
      </c>
      <c r="HO14" t="e">
        <f>AND(#REF!,"AAAAABPb394=")</f>
        <v>#REF!</v>
      </c>
      <c r="HP14" t="e">
        <f>AND(#REF!,"AAAAABPb398=")</f>
        <v>#REF!</v>
      </c>
      <c r="HQ14" t="e">
        <f>AND(#REF!,"AAAAABPb3+A=")</f>
        <v>#REF!</v>
      </c>
      <c r="HR14" t="e">
        <f>AND(#REF!,"AAAAABPb3+E=")</f>
        <v>#REF!</v>
      </c>
      <c r="HS14" t="e">
        <f>AND(#REF!,"AAAAABPb3+I=")</f>
        <v>#REF!</v>
      </c>
      <c r="HT14" t="e">
        <f>AND(#REF!,"AAAAABPb3+M=")</f>
        <v>#REF!</v>
      </c>
      <c r="HU14" t="e">
        <f>AND(#REF!,"AAAAABPb3+Q=")</f>
        <v>#REF!</v>
      </c>
      <c r="HV14" t="e">
        <f>AND(#REF!,"AAAAABPb3+U=")</f>
        <v>#REF!</v>
      </c>
      <c r="HW14" t="e">
        <f>AND(#REF!,"AAAAABPb3+Y=")</f>
        <v>#REF!</v>
      </c>
      <c r="HX14" t="e">
        <f>AND(#REF!,"AAAAABPb3+c=")</f>
        <v>#REF!</v>
      </c>
      <c r="HY14" t="e">
        <f>AND(#REF!,"AAAAABPb3+g=")</f>
        <v>#REF!</v>
      </c>
      <c r="HZ14" t="e">
        <f>AND(#REF!,"AAAAABPb3+k=")</f>
        <v>#REF!</v>
      </c>
      <c r="IA14" t="e">
        <f>AND(#REF!,"AAAAABPb3+o=")</f>
        <v>#REF!</v>
      </c>
      <c r="IB14" t="e">
        <f>AND(#REF!,"AAAAABPb3+s=")</f>
        <v>#REF!</v>
      </c>
      <c r="IC14" t="e">
        <f>AND(#REF!,"AAAAABPb3+w=")</f>
        <v>#REF!</v>
      </c>
      <c r="ID14" t="e">
        <f>AND(#REF!,"AAAAABPb3+0=")</f>
        <v>#REF!</v>
      </c>
      <c r="IE14" t="e">
        <f>AND(#REF!,"AAAAABPb3+4=")</f>
        <v>#REF!</v>
      </c>
      <c r="IF14" t="e">
        <f>AND(#REF!,"AAAAABPb3+8=")</f>
        <v>#REF!</v>
      </c>
      <c r="IG14" t="e">
        <f>AND(#REF!,"AAAAABPb3/A=")</f>
        <v>#REF!</v>
      </c>
      <c r="IH14" t="e">
        <f>AND(#REF!,"AAAAABPb3/E=")</f>
        <v>#REF!</v>
      </c>
      <c r="II14" t="e">
        <f>AND(#REF!,"AAAAABPb3/I=")</f>
        <v>#REF!</v>
      </c>
      <c r="IJ14" t="e">
        <f>AND(#REF!,"AAAAABPb3/M=")</f>
        <v>#REF!</v>
      </c>
      <c r="IK14" t="e">
        <f>AND(#REF!,"AAAAABPb3/Q=")</f>
        <v>#REF!</v>
      </c>
      <c r="IL14" t="e">
        <f>AND(#REF!,"AAAAABPb3/U=")</f>
        <v>#REF!</v>
      </c>
      <c r="IM14" t="e">
        <f>AND(#REF!,"AAAAABPb3/Y=")</f>
        <v>#REF!</v>
      </c>
      <c r="IN14" t="e">
        <f>AND(#REF!,"AAAAABPb3/c=")</f>
        <v>#REF!</v>
      </c>
      <c r="IO14" t="e">
        <f>AND(#REF!,"AAAAABPb3/g=")</f>
        <v>#REF!</v>
      </c>
      <c r="IP14" t="e">
        <f>AND(#REF!,"AAAAABPb3/k=")</f>
        <v>#REF!</v>
      </c>
      <c r="IQ14" t="e">
        <f>AND(#REF!,"AAAAABPb3/o=")</f>
        <v>#REF!</v>
      </c>
      <c r="IR14" t="e">
        <f>AND(#REF!,"AAAAABPb3/s=")</f>
        <v>#REF!</v>
      </c>
      <c r="IS14" t="e">
        <f>AND(#REF!,"AAAAABPb3/w=")</f>
        <v>#REF!</v>
      </c>
      <c r="IT14" t="e">
        <f>AND(#REF!,"AAAAABPb3/0=")</f>
        <v>#REF!</v>
      </c>
      <c r="IU14" t="e">
        <f>AND(#REF!,"AAAAABPb3/4=")</f>
        <v>#REF!</v>
      </c>
      <c r="IV14" t="e">
        <f>AND(#REF!,"AAAAABPb3/8=")</f>
        <v>#REF!</v>
      </c>
    </row>
    <row r="15" spans="1:256" x14ac:dyDescent="0.25">
      <c r="A15" t="e">
        <f>AND(#REF!,"AAAAAH7/JQA=")</f>
        <v>#REF!</v>
      </c>
      <c r="B15" t="e">
        <f>AND(#REF!,"AAAAAH7/JQE=")</f>
        <v>#REF!</v>
      </c>
      <c r="C15" t="e">
        <f>AND(#REF!,"AAAAAH7/JQI=")</f>
        <v>#REF!</v>
      </c>
      <c r="D15" t="e">
        <f>AND(#REF!,"AAAAAH7/JQM=")</f>
        <v>#REF!</v>
      </c>
      <c r="E15" t="e">
        <f>AND(#REF!,"AAAAAH7/JQQ=")</f>
        <v>#REF!</v>
      </c>
      <c r="F15" t="e">
        <f>AND(#REF!,"AAAAAH7/JQU=")</f>
        <v>#REF!</v>
      </c>
      <c r="G15" t="e">
        <f>AND(#REF!,"AAAAAH7/JQY=")</f>
        <v>#REF!</v>
      </c>
      <c r="H15" t="e">
        <f>IF(#REF!,"AAAAAH7/JQc=",0)</f>
        <v>#REF!</v>
      </c>
      <c r="I15" t="e">
        <f>AND(#REF!,"AAAAAH7/JQg=")</f>
        <v>#REF!</v>
      </c>
      <c r="J15" t="e">
        <f>AND(#REF!,"AAAAAH7/JQk=")</f>
        <v>#REF!</v>
      </c>
      <c r="K15" t="e">
        <f>AND(#REF!,"AAAAAH7/JQo=")</f>
        <v>#REF!</v>
      </c>
      <c r="L15" t="e">
        <f>AND(#REF!,"AAAAAH7/JQs=")</f>
        <v>#REF!</v>
      </c>
      <c r="M15" t="e">
        <f>AND(#REF!,"AAAAAH7/JQw=")</f>
        <v>#REF!</v>
      </c>
      <c r="N15" t="e">
        <f>AND(#REF!,"AAAAAH7/JQ0=")</f>
        <v>#REF!</v>
      </c>
      <c r="O15" t="e">
        <f>AND(#REF!,"AAAAAH7/JQ4=")</f>
        <v>#REF!</v>
      </c>
      <c r="P15" t="e">
        <f>AND(#REF!,"AAAAAH7/JQ8=")</f>
        <v>#REF!</v>
      </c>
      <c r="Q15" t="e">
        <f>AND(#REF!,"AAAAAH7/JRA=")</f>
        <v>#REF!</v>
      </c>
      <c r="R15" t="e">
        <f>AND(#REF!,"AAAAAH7/JRE=")</f>
        <v>#REF!</v>
      </c>
      <c r="S15" t="e">
        <f>AND(#REF!,"AAAAAH7/JRI=")</f>
        <v>#REF!</v>
      </c>
      <c r="T15" t="e">
        <f>AND(#REF!,"AAAAAH7/JRM=")</f>
        <v>#REF!</v>
      </c>
      <c r="U15" t="e">
        <f>AND(#REF!,"AAAAAH7/JRQ=")</f>
        <v>#REF!</v>
      </c>
      <c r="V15" t="e">
        <f>AND(#REF!,"AAAAAH7/JRU=")</f>
        <v>#REF!</v>
      </c>
      <c r="W15" t="e">
        <f>AND(#REF!,"AAAAAH7/JRY=")</f>
        <v>#REF!</v>
      </c>
      <c r="X15" t="e">
        <f>AND(#REF!,"AAAAAH7/JRc=")</f>
        <v>#REF!</v>
      </c>
      <c r="Y15" t="e">
        <f>AND(#REF!,"AAAAAH7/JRg=")</f>
        <v>#REF!</v>
      </c>
      <c r="Z15" t="e">
        <f>AND(#REF!,"AAAAAH7/JRk=")</f>
        <v>#REF!</v>
      </c>
      <c r="AA15" t="e">
        <f>AND(#REF!,"AAAAAH7/JRo=")</f>
        <v>#REF!</v>
      </c>
      <c r="AB15" t="e">
        <f>AND(#REF!,"AAAAAH7/JRs=")</f>
        <v>#REF!</v>
      </c>
      <c r="AC15" t="e">
        <f>AND(#REF!,"AAAAAH7/JRw=")</f>
        <v>#REF!</v>
      </c>
      <c r="AD15" t="e">
        <f>AND(#REF!,"AAAAAH7/JR0=")</f>
        <v>#REF!</v>
      </c>
      <c r="AE15" t="e">
        <f>AND(#REF!,"AAAAAH7/JR4=")</f>
        <v>#REF!</v>
      </c>
      <c r="AF15" t="e">
        <f>AND(#REF!,"AAAAAH7/JR8=")</f>
        <v>#REF!</v>
      </c>
      <c r="AG15" t="e">
        <f>AND(#REF!,"AAAAAH7/JSA=")</f>
        <v>#REF!</v>
      </c>
      <c r="AH15" t="e">
        <f>AND(#REF!,"AAAAAH7/JSE=")</f>
        <v>#REF!</v>
      </c>
      <c r="AI15" t="e">
        <f>AND(#REF!,"AAAAAH7/JSI=")</f>
        <v>#REF!</v>
      </c>
      <c r="AJ15" t="e">
        <f>AND(#REF!,"AAAAAH7/JSM=")</f>
        <v>#REF!</v>
      </c>
      <c r="AK15" t="e">
        <f>AND(#REF!,"AAAAAH7/JSQ=")</f>
        <v>#REF!</v>
      </c>
      <c r="AL15" t="e">
        <f>AND(#REF!,"AAAAAH7/JSU=")</f>
        <v>#REF!</v>
      </c>
      <c r="AM15" t="e">
        <f>AND(#REF!,"AAAAAH7/JSY=")</f>
        <v>#REF!</v>
      </c>
      <c r="AN15" t="e">
        <f>AND(#REF!,"AAAAAH7/JSc=")</f>
        <v>#REF!</v>
      </c>
      <c r="AO15" t="e">
        <f>AND(#REF!,"AAAAAH7/JSg=")</f>
        <v>#REF!</v>
      </c>
      <c r="AP15" t="e">
        <f>AND(#REF!,"AAAAAH7/JSk=")</f>
        <v>#REF!</v>
      </c>
      <c r="AQ15" t="e">
        <f>AND(#REF!,"AAAAAH7/JSo=")</f>
        <v>#REF!</v>
      </c>
      <c r="AR15" t="e">
        <f>AND(#REF!,"AAAAAH7/JSs=")</f>
        <v>#REF!</v>
      </c>
      <c r="AS15" t="e">
        <f>AND(#REF!,"AAAAAH7/JSw=")</f>
        <v>#REF!</v>
      </c>
      <c r="AT15" t="e">
        <f>AND(#REF!,"AAAAAH7/JS0=")</f>
        <v>#REF!</v>
      </c>
      <c r="AU15" t="e">
        <f>AND(#REF!,"AAAAAH7/JS4=")</f>
        <v>#REF!</v>
      </c>
      <c r="AV15" t="e">
        <f>AND(#REF!,"AAAAAH7/JS8=")</f>
        <v>#REF!</v>
      </c>
      <c r="AW15" t="e">
        <f>AND(#REF!,"AAAAAH7/JTA=")</f>
        <v>#REF!</v>
      </c>
      <c r="AX15" t="e">
        <f>AND(#REF!,"AAAAAH7/JTE=")</f>
        <v>#REF!</v>
      </c>
      <c r="AY15" t="e">
        <f>AND(#REF!,"AAAAAH7/JTI=")</f>
        <v>#REF!</v>
      </c>
      <c r="AZ15" t="e">
        <f>AND(#REF!,"AAAAAH7/JTM=")</f>
        <v>#REF!</v>
      </c>
      <c r="BA15" t="e">
        <f>AND(#REF!,"AAAAAH7/JTQ=")</f>
        <v>#REF!</v>
      </c>
      <c r="BB15" t="e">
        <f>AND(#REF!,"AAAAAH7/JTU=")</f>
        <v>#REF!</v>
      </c>
      <c r="BC15" t="e">
        <f>AND(#REF!,"AAAAAH7/JTY=")</f>
        <v>#REF!</v>
      </c>
      <c r="BD15" t="e">
        <f>AND(#REF!,"AAAAAH7/JTc=")</f>
        <v>#REF!</v>
      </c>
      <c r="BE15" t="e">
        <f>AND(#REF!,"AAAAAH7/JTg=")</f>
        <v>#REF!</v>
      </c>
      <c r="BF15" t="e">
        <f>AND(#REF!,"AAAAAH7/JTk=")</f>
        <v>#REF!</v>
      </c>
      <c r="BG15" t="e">
        <f>AND(#REF!,"AAAAAH7/JTo=")</f>
        <v>#REF!</v>
      </c>
      <c r="BH15" t="e">
        <f>AND(#REF!,"AAAAAH7/JTs=")</f>
        <v>#REF!</v>
      </c>
      <c r="BI15" t="e">
        <f>AND(#REF!,"AAAAAH7/JTw=")</f>
        <v>#REF!</v>
      </c>
      <c r="BJ15" t="e">
        <f>AND(#REF!,"AAAAAH7/JT0=")</f>
        <v>#REF!</v>
      </c>
      <c r="BK15" t="e">
        <f>AND(#REF!,"AAAAAH7/JT4=")</f>
        <v>#REF!</v>
      </c>
      <c r="BL15" t="e">
        <f>AND(#REF!,"AAAAAH7/JT8=")</f>
        <v>#REF!</v>
      </c>
      <c r="BM15" t="e">
        <f>AND(#REF!,"AAAAAH7/JUA=")</f>
        <v>#REF!</v>
      </c>
      <c r="BN15" t="e">
        <f>AND(#REF!,"AAAAAH7/JUE=")</f>
        <v>#REF!</v>
      </c>
      <c r="BO15" t="e">
        <f>AND(#REF!,"AAAAAH7/JUI=")</f>
        <v>#REF!</v>
      </c>
      <c r="BP15" t="e">
        <f>AND(#REF!,"AAAAAH7/JUM=")</f>
        <v>#REF!</v>
      </c>
      <c r="BQ15" t="e">
        <f>AND(#REF!,"AAAAAH7/JUQ=")</f>
        <v>#REF!</v>
      </c>
      <c r="BR15" t="e">
        <f>AND(#REF!,"AAAAAH7/JUU=")</f>
        <v>#REF!</v>
      </c>
      <c r="BS15" t="e">
        <f>AND(#REF!,"AAAAAH7/JUY=")</f>
        <v>#REF!</v>
      </c>
      <c r="BT15" t="e">
        <f>AND(#REF!,"AAAAAH7/JUc=")</f>
        <v>#REF!</v>
      </c>
      <c r="BU15" t="e">
        <f>AND(#REF!,"AAAAAH7/JUg=")</f>
        <v>#REF!</v>
      </c>
      <c r="BV15" t="e">
        <f>AND(#REF!,"AAAAAH7/JUk=")</f>
        <v>#REF!</v>
      </c>
      <c r="BW15" t="e">
        <f>AND(#REF!,"AAAAAH7/JUo=")</f>
        <v>#REF!</v>
      </c>
      <c r="BX15" t="e">
        <f>AND(#REF!,"AAAAAH7/JUs=")</f>
        <v>#REF!</v>
      </c>
      <c r="BY15" t="e">
        <f>AND(#REF!,"AAAAAH7/JUw=")</f>
        <v>#REF!</v>
      </c>
      <c r="BZ15" t="e">
        <f>AND(#REF!,"AAAAAH7/JU0=")</f>
        <v>#REF!</v>
      </c>
      <c r="CA15" t="e">
        <f>AND(#REF!,"AAAAAH7/JU4=")</f>
        <v>#REF!</v>
      </c>
      <c r="CB15" t="e">
        <f>AND(#REF!,"AAAAAH7/JU8=")</f>
        <v>#REF!</v>
      </c>
      <c r="CC15" t="e">
        <f>AND(#REF!,"AAAAAH7/JVA=")</f>
        <v>#REF!</v>
      </c>
      <c r="CD15" t="e">
        <f>AND(#REF!,"AAAAAH7/JVE=")</f>
        <v>#REF!</v>
      </c>
      <c r="CE15" t="e">
        <f>AND(#REF!,"AAAAAH7/JVI=")</f>
        <v>#REF!</v>
      </c>
      <c r="CF15" t="e">
        <f>AND(#REF!,"AAAAAH7/JVM=")</f>
        <v>#REF!</v>
      </c>
      <c r="CG15" t="e">
        <f>AND(#REF!,"AAAAAH7/JVQ=")</f>
        <v>#REF!</v>
      </c>
      <c r="CH15" t="e">
        <f>AND(#REF!,"AAAAAH7/JVU=")</f>
        <v>#REF!</v>
      </c>
      <c r="CI15" t="e">
        <f>AND(#REF!,"AAAAAH7/JVY=")</f>
        <v>#REF!</v>
      </c>
      <c r="CJ15" t="e">
        <f>AND(#REF!,"AAAAAH7/JVc=")</f>
        <v>#REF!</v>
      </c>
      <c r="CK15" t="e">
        <f>AND(#REF!,"AAAAAH7/JVg=")</f>
        <v>#REF!</v>
      </c>
      <c r="CL15" t="e">
        <f>AND(#REF!,"AAAAAH7/JVk=")</f>
        <v>#REF!</v>
      </c>
      <c r="CM15" t="e">
        <f>AND(#REF!,"AAAAAH7/JVo=")</f>
        <v>#REF!</v>
      </c>
      <c r="CN15" t="e">
        <f>AND(#REF!,"AAAAAH7/JVs=")</f>
        <v>#REF!</v>
      </c>
      <c r="CO15" t="e">
        <f>AND(#REF!,"AAAAAH7/JVw=")</f>
        <v>#REF!</v>
      </c>
      <c r="CP15" t="e">
        <f>AND(#REF!,"AAAAAH7/JV0=")</f>
        <v>#REF!</v>
      </c>
      <c r="CQ15" t="e">
        <f>AND(#REF!,"AAAAAH7/JV4=")</f>
        <v>#REF!</v>
      </c>
      <c r="CR15" t="e">
        <f>AND(#REF!,"AAAAAH7/JV8=")</f>
        <v>#REF!</v>
      </c>
      <c r="CS15" t="e">
        <f>AND(#REF!,"AAAAAH7/JWA=")</f>
        <v>#REF!</v>
      </c>
      <c r="CT15" t="e">
        <f>AND(#REF!,"AAAAAH7/JWE=")</f>
        <v>#REF!</v>
      </c>
      <c r="CU15" t="e">
        <f>AND(#REF!,"AAAAAH7/JWI=")</f>
        <v>#REF!</v>
      </c>
      <c r="CV15" t="e">
        <f>AND(#REF!,"AAAAAH7/JWM=")</f>
        <v>#REF!</v>
      </c>
      <c r="CW15" t="e">
        <f>AND(#REF!,"AAAAAH7/JWQ=")</f>
        <v>#REF!</v>
      </c>
      <c r="CX15" t="e">
        <f>AND(#REF!,"AAAAAH7/JWU=")</f>
        <v>#REF!</v>
      </c>
      <c r="CY15" t="e">
        <f>AND(#REF!,"AAAAAH7/JWY=")</f>
        <v>#REF!</v>
      </c>
      <c r="CZ15" t="e">
        <f>AND(#REF!,"AAAAAH7/JWc=")</f>
        <v>#REF!</v>
      </c>
      <c r="DA15" t="e">
        <f>AND(#REF!,"AAAAAH7/JWg=")</f>
        <v>#REF!</v>
      </c>
      <c r="DB15" t="e">
        <f>AND(#REF!,"AAAAAH7/JWk=")</f>
        <v>#REF!</v>
      </c>
      <c r="DC15" t="e">
        <f>AND(#REF!,"AAAAAH7/JWo=")</f>
        <v>#REF!</v>
      </c>
      <c r="DD15" t="e">
        <f>AND(#REF!,"AAAAAH7/JWs=")</f>
        <v>#REF!</v>
      </c>
      <c r="DE15" t="e">
        <f>AND(#REF!,"AAAAAH7/JWw=")</f>
        <v>#REF!</v>
      </c>
      <c r="DF15" t="e">
        <f>AND(#REF!,"AAAAAH7/JW0=")</f>
        <v>#REF!</v>
      </c>
      <c r="DG15" t="e">
        <f>AND(#REF!,"AAAAAH7/JW4=")</f>
        <v>#REF!</v>
      </c>
      <c r="DH15" t="e">
        <f>AND(#REF!,"AAAAAH7/JW8=")</f>
        <v>#REF!</v>
      </c>
      <c r="DI15" t="e">
        <f>AND(#REF!,"AAAAAH7/JXA=")</f>
        <v>#REF!</v>
      </c>
      <c r="DJ15" t="e">
        <f>AND(#REF!,"AAAAAH7/JXE=")</f>
        <v>#REF!</v>
      </c>
      <c r="DK15" t="e">
        <f>AND(#REF!,"AAAAAH7/JXI=")</f>
        <v>#REF!</v>
      </c>
      <c r="DL15" t="e">
        <f>AND(#REF!,"AAAAAH7/JXM=")</f>
        <v>#REF!</v>
      </c>
      <c r="DM15" t="e">
        <f>AND(#REF!,"AAAAAH7/JXQ=")</f>
        <v>#REF!</v>
      </c>
      <c r="DN15" t="e">
        <f>AND(#REF!,"AAAAAH7/JXU=")</f>
        <v>#REF!</v>
      </c>
      <c r="DO15" t="e">
        <f>AND(#REF!,"AAAAAH7/JXY=")</f>
        <v>#REF!</v>
      </c>
      <c r="DP15" t="e">
        <f>AND(#REF!,"AAAAAH7/JXc=")</f>
        <v>#REF!</v>
      </c>
      <c r="DQ15" t="e">
        <f>AND(#REF!,"AAAAAH7/JXg=")</f>
        <v>#REF!</v>
      </c>
      <c r="DR15" t="e">
        <f>AND(#REF!,"AAAAAH7/JXk=")</f>
        <v>#REF!</v>
      </c>
      <c r="DS15" t="e">
        <f>AND(#REF!,"AAAAAH7/JXo=")</f>
        <v>#REF!</v>
      </c>
      <c r="DT15" t="e">
        <f>AND(#REF!,"AAAAAH7/JXs=")</f>
        <v>#REF!</v>
      </c>
      <c r="DU15" t="e">
        <f>AND(#REF!,"AAAAAH7/JXw=")</f>
        <v>#REF!</v>
      </c>
      <c r="DV15" t="e">
        <f>AND(#REF!,"AAAAAH7/JX0=")</f>
        <v>#REF!</v>
      </c>
      <c r="DW15" t="e">
        <f>AND(#REF!,"AAAAAH7/JX4=")</f>
        <v>#REF!</v>
      </c>
      <c r="DX15" t="e">
        <f>AND(#REF!,"AAAAAH7/JX8=")</f>
        <v>#REF!</v>
      </c>
      <c r="DY15" t="e">
        <f>AND(#REF!,"AAAAAH7/JYA=")</f>
        <v>#REF!</v>
      </c>
      <c r="DZ15" t="e">
        <f>AND(#REF!,"AAAAAH7/JYE=")</f>
        <v>#REF!</v>
      </c>
      <c r="EA15" t="e">
        <f>AND(#REF!,"AAAAAH7/JYI=")</f>
        <v>#REF!</v>
      </c>
      <c r="EB15" t="e">
        <f>AND(#REF!,"AAAAAH7/JYM=")</f>
        <v>#REF!</v>
      </c>
      <c r="EC15" t="e">
        <f>AND(#REF!,"AAAAAH7/JYQ=")</f>
        <v>#REF!</v>
      </c>
      <c r="ED15" t="e">
        <f>AND(#REF!,"AAAAAH7/JYU=")</f>
        <v>#REF!</v>
      </c>
      <c r="EE15" t="e">
        <f>AND(#REF!,"AAAAAH7/JYY=")</f>
        <v>#REF!</v>
      </c>
      <c r="EF15" t="e">
        <f>AND(#REF!,"AAAAAH7/JYc=")</f>
        <v>#REF!</v>
      </c>
      <c r="EG15" t="e">
        <f>AND(#REF!,"AAAAAH7/JYg=")</f>
        <v>#REF!</v>
      </c>
      <c r="EH15" t="e">
        <f>AND(#REF!,"AAAAAH7/JYk=")</f>
        <v>#REF!</v>
      </c>
      <c r="EI15" t="e">
        <f>AND(#REF!,"AAAAAH7/JYo=")</f>
        <v>#REF!</v>
      </c>
      <c r="EJ15" t="e">
        <f>AND(#REF!,"AAAAAH7/JYs=")</f>
        <v>#REF!</v>
      </c>
      <c r="EK15" t="e">
        <f>AND(#REF!,"AAAAAH7/JYw=")</f>
        <v>#REF!</v>
      </c>
      <c r="EL15" t="e">
        <f>AND(#REF!,"AAAAAH7/JY0=")</f>
        <v>#REF!</v>
      </c>
      <c r="EM15" t="e">
        <f>AND(#REF!,"AAAAAH7/JY4=")</f>
        <v>#REF!</v>
      </c>
      <c r="EN15" t="e">
        <f>AND(#REF!,"AAAAAH7/JY8=")</f>
        <v>#REF!</v>
      </c>
      <c r="EO15" t="e">
        <f>AND(#REF!,"AAAAAH7/JZA=")</f>
        <v>#REF!</v>
      </c>
      <c r="EP15" t="e">
        <f>AND(#REF!,"AAAAAH7/JZE=")</f>
        <v>#REF!</v>
      </c>
      <c r="EQ15" t="e">
        <f>AND(#REF!,"AAAAAH7/JZI=")</f>
        <v>#REF!</v>
      </c>
      <c r="ER15" t="e">
        <f>AND(#REF!,"AAAAAH7/JZM=")</f>
        <v>#REF!</v>
      </c>
      <c r="ES15" t="e">
        <f>AND(#REF!,"AAAAAH7/JZQ=")</f>
        <v>#REF!</v>
      </c>
      <c r="ET15" t="e">
        <f>AND(#REF!,"AAAAAH7/JZU=")</f>
        <v>#REF!</v>
      </c>
      <c r="EU15" t="e">
        <f>AND(#REF!,"AAAAAH7/JZY=")</f>
        <v>#REF!</v>
      </c>
      <c r="EV15" t="e">
        <f>AND(#REF!,"AAAAAH7/JZc=")</f>
        <v>#REF!</v>
      </c>
      <c r="EW15" t="e">
        <f>AND(#REF!,"AAAAAH7/JZg=")</f>
        <v>#REF!</v>
      </c>
      <c r="EX15" t="e">
        <f>AND(#REF!,"AAAAAH7/JZk=")</f>
        <v>#REF!</v>
      </c>
      <c r="EY15" t="e">
        <f>AND(#REF!,"AAAAAH7/JZo=")</f>
        <v>#REF!</v>
      </c>
      <c r="EZ15" t="e">
        <f>AND(#REF!,"AAAAAH7/JZs=")</f>
        <v>#REF!</v>
      </c>
      <c r="FA15" t="e">
        <f>AND(#REF!,"AAAAAH7/JZw=")</f>
        <v>#REF!</v>
      </c>
      <c r="FB15" t="e">
        <f>AND(#REF!,"AAAAAH7/JZ0=")</f>
        <v>#REF!</v>
      </c>
      <c r="FC15" t="e">
        <f>AND(#REF!,"AAAAAH7/JZ4=")</f>
        <v>#REF!</v>
      </c>
      <c r="FD15" t="e">
        <f>AND(#REF!,"AAAAAH7/JZ8=")</f>
        <v>#REF!</v>
      </c>
      <c r="FE15" t="e">
        <f>AND(#REF!,"AAAAAH7/JaA=")</f>
        <v>#REF!</v>
      </c>
      <c r="FF15" t="e">
        <f>AND(#REF!,"AAAAAH7/JaE=")</f>
        <v>#REF!</v>
      </c>
      <c r="FG15" t="e">
        <f>AND(#REF!,"AAAAAH7/JaI=")</f>
        <v>#REF!</v>
      </c>
      <c r="FH15" t="e">
        <f>AND(#REF!,"AAAAAH7/JaM=")</f>
        <v>#REF!</v>
      </c>
      <c r="FI15" t="e">
        <f>AND(#REF!,"AAAAAH7/JaQ=")</f>
        <v>#REF!</v>
      </c>
      <c r="FJ15" t="e">
        <f>AND(#REF!,"AAAAAH7/JaU=")</f>
        <v>#REF!</v>
      </c>
      <c r="FK15" t="e">
        <f>AND(#REF!,"AAAAAH7/JaY=")</f>
        <v>#REF!</v>
      </c>
      <c r="FL15" t="e">
        <f>AND(#REF!,"AAAAAH7/Jac=")</f>
        <v>#REF!</v>
      </c>
      <c r="FM15" t="e">
        <f>AND(#REF!,"AAAAAH7/Jag=")</f>
        <v>#REF!</v>
      </c>
      <c r="FN15" t="e">
        <f>AND(#REF!,"AAAAAH7/Jak=")</f>
        <v>#REF!</v>
      </c>
      <c r="FO15" t="e">
        <f>AND(#REF!,"AAAAAH7/Jao=")</f>
        <v>#REF!</v>
      </c>
      <c r="FP15" t="e">
        <f>AND(#REF!,"AAAAAH7/Jas=")</f>
        <v>#REF!</v>
      </c>
      <c r="FQ15" t="e">
        <f>AND(#REF!,"AAAAAH7/Jaw=")</f>
        <v>#REF!</v>
      </c>
      <c r="FR15" t="e">
        <f>AND(#REF!,"AAAAAH7/Ja0=")</f>
        <v>#REF!</v>
      </c>
      <c r="FS15" t="e">
        <f>AND(#REF!,"AAAAAH7/Ja4=")</f>
        <v>#REF!</v>
      </c>
      <c r="FT15" t="e">
        <f>AND(#REF!,"AAAAAH7/Ja8=")</f>
        <v>#REF!</v>
      </c>
      <c r="FU15" t="e">
        <f>AND(#REF!,"AAAAAH7/JbA=")</f>
        <v>#REF!</v>
      </c>
      <c r="FV15" t="e">
        <f>AND(#REF!,"AAAAAH7/JbE=")</f>
        <v>#REF!</v>
      </c>
      <c r="FW15" t="e">
        <f>AND(#REF!,"AAAAAH7/JbI=")</f>
        <v>#REF!</v>
      </c>
      <c r="FX15" t="e">
        <f>AND(#REF!,"AAAAAH7/JbM=")</f>
        <v>#REF!</v>
      </c>
      <c r="FY15" t="e">
        <f>AND(#REF!,"AAAAAH7/JbQ=")</f>
        <v>#REF!</v>
      </c>
      <c r="FZ15" t="e">
        <f>AND(#REF!,"AAAAAH7/JbU=")</f>
        <v>#REF!</v>
      </c>
      <c r="GA15" t="e">
        <f>AND(#REF!,"AAAAAH7/JbY=")</f>
        <v>#REF!</v>
      </c>
      <c r="GB15" t="e">
        <f>AND(#REF!,"AAAAAH7/Jbc=")</f>
        <v>#REF!</v>
      </c>
      <c r="GC15" t="e">
        <f>AND(#REF!,"AAAAAH7/Jbg=")</f>
        <v>#REF!</v>
      </c>
      <c r="GD15" t="e">
        <f>AND(#REF!,"AAAAAH7/Jbk=")</f>
        <v>#REF!</v>
      </c>
      <c r="GE15" t="e">
        <f>AND(#REF!,"AAAAAH7/Jbo=")</f>
        <v>#REF!</v>
      </c>
      <c r="GF15" t="e">
        <f>AND(#REF!,"AAAAAH7/Jbs=")</f>
        <v>#REF!</v>
      </c>
      <c r="GG15" t="e">
        <f>AND(#REF!,"AAAAAH7/Jbw=")</f>
        <v>#REF!</v>
      </c>
      <c r="GH15" t="e">
        <f>AND(#REF!,"AAAAAH7/Jb0=")</f>
        <v>#REF!</v>
      </c>
      <c r="GI15" t="e">
        <f>AND(#REF!,"AAAAAH7/Jb4=")</f>
        <v>#REF!</v>
      </c>
      <c r="GJ15" t="e">
        <f>AND(#REF!,"AAAAAH7/Jb8=")</f>
        <v>#REF!</v>
      </c>
      <c r="GK15" t="e">
        <f>AND(#REF!,"AAAAAH7/JcA=")</f>
        <v>#REF!</v>
      </c>
      <c r="GL15" t="e">
        <f>AND(#REF!,"AAAAAH7/JcE=")</f>
        <v>#REF!</v>
      </c>
      <c r="GM15" t="e">
        <f>AND(#REF!,"AAAAAH7/JcI=")</f>
        <v>#REF!</v>
      </c>
      <c r="GN15" t="e">
        <f>AND(#REF!,"AAAAAH7/JcM=")</f>
        <v>#REF!</v>
      </c>
      <c r="GO15" t="e">
        <f>AND(#REF!,"AAAAAH7/JcQ=")</f>
        <v>#REF!</v>
      </c>
      <c r="GP15" t="e">
        <f>AND(#REF!,"AAAAAH7/JcU=")</f>
        <v>#REF!</v>
      </c>
      <c r="GQ15" t="e">
        <f>AND(#REF!,"AAAAAH7/JcY=")</f>
        <v>#REF!</v>
      </c>
      <c r="GR15" t="e">
        <f>AND(#REF!,"AAAAAH7/Jcc=")</f>
        <v>#REF!</v>
      </c>
      <c r="GS15" t="e">
        <f>AND(#REF!,"AAAAAH7/Jcg=")</f>
        <v>#REF!</v>
      </c>
      <c r="GT15" t="e">
        <f>AND(#REF!,"AAAAAH7/Jck=")</f>
        <v>#REF!</v>
      </c>
      <c r="GU15" t="e">
        <f>AND(#REF!,"AAAAAH7/Jco=")</f>
        <v>#REF!</v>
      </c>
      <c r="GV15" t="e">
        <f>AND(#REF!,"AAAAAH7/Jcs=")</f>
        <v>#REF!</v>
      </c>
      <c r="GW15" t="e">
        <f>AND(#REF!,"AAAAAH7/Jcw=")</f>
        <v>#REF!</v>
      </c>
      <c r="GX15" t="e">
        <f>AND(#REF!,"AAAAAH7/Jc0=")</f>
        <v>#REF!</v>
      </c>
      <c r="GY15" t="e">
        <f>AND(#REF!,"AAAAAH7/Jc4=")</f>
        <v>#REF!</v>
      </c>
      <c r="GZ15" t="e">
        <f>AND(#REF!,"AAAAAH7/Jc8=")</f>
        <v>#REF!</v>
      </c>
      <c r="HA15" t="e">
        <f>AND(#REF!,"AAAAAH7/JdA=")</f>
        <v>#REF!</v>
      </c>
      <c r="HB15" t="e">
        <f>AND(#REF!,"AAAAAH7/JdE=")</f>
        <v>#REF!</v>
      </c>
      <c r="HC15" t="e">
        <f>AND(#REF!,"AAAAAH7/JdI=")</f>
        <v>#REF!</v>
      </c>
      <c r="HD15" t="e">
        <f>AND(#REF!,"AAAAAH7/JdM=")</f>
        <v>#REF!</v>
      </c>
      <c r="HE15" t="e">
        <f>AND(#REF!,"AAAAAH7/JdQ=")</f>
        <v>#REF!</v>
      </c>
      <c r="HF15" t="e">
        <f>AND(#REF!,"AAAAAH7/JdU=")</f>
        <v>#REF!</v>
      </c>
      <c r="HG15" t="e">
        <f>AND(#REF!,"AAAAAH7/JdY=")</f>
        <v>#REF!</v>
      </c>
      <c r="HH15" t="e">
        <f>AND(#REF!,"AAAAAH7/Jdc=")</f>
        <v>#REF!</v>
      </c>
      <c r="HI15" t="e">
        <f>AND(#REF!,"AAAAAH7/Jdg=")</f>
        <v>#REF!</v>
      </c>
      <c r="HJ15" t="e">
        <f>AND(#REF!,"AAAAAH7/Jdk=")</f>
        <v>#REF!</v>
      </c>
      <c r="HK15" t="e">
        <f>AND(#REF!,"AAAAAH7/Jdo=")</f>
        <v>#REF!</v>
      </c>
      <c r="HL15" t="e">
        <f>AND(#REF!,"AAAAAH7/Jds=")</f>
        <v>#REF!</v>
      </c>
      <c r="HM15" t="e">
        <f>AND(#REF!,"AAAAAH7/Jdw=")</f>
        <v>#REF!</v>
      </c>
      <c r="HN15" t="e">
        <f>AND(#REF!,"AAAAAH7/Jd0=")</f>
        <v>#REF!</v>
      </c>
      <c r="HO15" t="e">
        <f>AND(#REF!,"AAAAAH7/Jd4=")</f>
        <v>#REF!</v>
      </c>
      <c r="HP15" t="e">
        <f>AND(#REF!,"AAAAAH7/Jd8=")</f>
        <v>#REF!</v>
      </c>
      <c r="HQ15" t="e">
        <f>AND(#REF!,"AAAAAH7/JeA=")</f>
        <v>#REF!</v>
      </c>
      <c r="HR15" t="e">
        <f>AND(#REF!,"AAAAAH7/JeE=")</f>
        <v>#REF!</v>
      </c>
      <c r="HS15" t="e">
        <f>AND(#REF!,"AAAAAH7/JeI=")</f>
        <v>#REF!</v>
      </c>
      <c r="HT15" t="e">
        <f>AND(#REF!,"AAAAAH7/JeM=")</f>
        <v>#REF!</v>
      </c>
      <c r="HU15" t="e">
        <f>AND(#REF!,"AAAAAH7/JeQ=")</f>
        <v>#REF!</v>
      </c>
      <c r="HV15" t="e">
        <f>AND(#REF!,"AAAAAH7/JeU=")</f>
        <v>#REF!</v>
      </c>
      <c r="HW15" t="e">
        <f>AND(#REF!,"AAAAAH7/JeY=")</f>
        <v>#REF!</v>
      </c>
      <c r="HX15" t="e">
        <f>AND(#REF!,"AAAAAH7/Jec=")</f>
        <v>#REF!</v>
      </c>
      <c r="HY15" t="e">
        <f>AND(#REF!,"AAAAAH7/Jeg=")</f>
        <v>#REF!</v>
      </c>
      <c r="HZ15" t="e">
        <f>AND(#REF!,"AAAAAH7/Jek=")</f>
        <v>#REF!</v>
      </c>
      <c r="IA15" t="e">
        <f>AND(#REF!,"AAAAAH7/Jeo=")</f>
        <v>#REF!</v>
      </c>
      <c r="IB15" t="e">
        <f>AND(#REF!,"AAAAAH7/Jes=")</f>
        <v>#REF!</v>
      </c>
      <c r="IC15" t="e">
        <f>AND(#REF!,"AAAAAH7/Jew=")</f>
        <v>#REF!</v>
      </c>
      <c r="ID15" t="e">
        <f>AND(#REF!,"AAAAAH7/Je0=")</f>
        <v>#REF!</v>
      </c>
      <c r="IE15" t="e">
        <f>AND(#REF!,"AAAAAH7/Je4=")</f>
        <v>#REF!</v>
      </c>
      <c r="IF15" t="e">
        <f>AND(#REF!,"AAAAAH7/Je8=")</f>
        <v>#REF!</v>
      </c>
      <c r="IG15" t="e">
        <f>AND(#REF!,"AAAAAH7/JfA=")</f>
        <v>#REF!</v>
      </c>
      <c r="IH15" t="e">
        <f>AND(#REF!,"AAAAAH7/JfE=")</f>
        <v>#REF!</v>
      </c>
      <c r="II15" t="e">
        <f>AND(#REF!,"AAAAAH7/JfI=")</f>
        <v>#REF!</v>
      </c>
      <c r="IJ15" t="e">
        <f>AND(#REF!,"AAAAAH7/JfM=")</f>
        <v>#REF!</v>
      </c>
      <c r="IK15" t="e">
        <f>AND(#REF!,"AAAAAH7/JfQ=")</f>
        <v>#REF!</v>
      </c>
      <c r="IL15" t="e">
        <f>AND(#REF!,"AAAAAH7/JfU=")</f>
        <v>#REF!</v>
      </c>
      <c r="IM15" t="e">
        <f>AND(#REF!,"AAAAAH7/JfY=")</f>
        <v>#REF!</v>
      </c>
      <c r="IN15" t="e">
        <f>AND(#REF!,"AAAAAH7/Jfc=")</f>
        <v>#REF!</v>
      </c>
      <c r="IO15" t="e">
        <f>AND(#REF!,"AAAAAH7/Jfg=")</f>
        <v>#REF!</v>
      </c>
      <c r="IP15" t="e">
        <f>AND(#REF!,"AAAAAH7/Jfk=")</f>
        <v>#REF!</v>
      </c>
      <c r="IQ15" t="e">
        <f>AND(#REF!,"AAAAAH7/Jfo=")</f>
        <v>#REF!</v>
      </c>
      <c r="IR15" t="e">
        <f>AND(#REF!,"AAAAAH7/Jfs=")</f>
        <v>#REF!</v>
      </c>
      <c r="IS15" t="e">
        <f>AND(#REF!,"AAAAAH7/Jfw=")</f>
        <v>#REF!</v>
      </c>
      <c r="IT15" t="e">
        <f>AND(#REF!,"AAAAAH7/Jf0=")</f>
        <v>#REF!</v>
      </c>
      <c r="IU15" t="e">
        <f>AND(#REF!,"AAAAAH7/Jf4=")</f>
        <v>#REF!</v>
      </c>
      <c r="IV15" t="e">
        <f>AND(#REF!,"AAAAAH7/Jf8=")</f>
        <v>#REF!</v>
      </c>
    </row>
    <row r="16" spans="1:256" x14ac:dyDescent="0.25">
      <c r="A16" t="e">
        <f>AND(#REF!,"AAAAAG/t/gA=")</f>
        <v>#REF!</v>
      </c>
      <c r="B16" t="e">
        <f>AND(#REF!,"AAAAAG/t/gE=")</f>
        <v>#REF!</v>
      </c>
      <c r="C16" t="e">
        <f>AND(#REF!,"AAAAAG/t/gI=")</f>
        <v>#REF!</v>
      </c>
      <c r="D16" t="e">
        <f>AND(#REF!,"AAAAAG/t/gM=")</f>
        <v>#REF!</v>
      </c>
      <c r="E16" t="e">
        <f>AND(#REF!,"AAAAAG/t/gQ=")</f>
        <v>#REF!</v>
      </c>
      <c r="F16" t="e">
        <f>AND(#REF!,"AAAAAG/t/gU=")</f>
        <v>#REF!</v>
      </c>
      <c r="G16" t="e">
        <f>AND(#REF!,"AAAAAG/t/gY=")</f>
        <v>#REF!</v>
      </c>
      <c r="H16" t="e">
        <f>AND(#REF!,"AAAAAG/t/gc=")</f>
        <v>#REF!</v>
      </c>
      <c r="I16" t="e">
        <f>IF(#REF!,"AAAAAG/t/gg=",0)</f>
        <v>#REF!</v>
      </c>
      <c r="J16" t="e">
        <f>AND(#REF!,"AAAAAG/t/gk=")</f>
        <v>#REF!</v>
      </c>
      <c r="K16" t="e">
        <f>AND(#REF!,"AAAAAG/t/go=")</f>
        <v>#REF!</v>
      </c>
      <c r="L16" t="e">
        <f>AND(#REF!,"AAAAAG/t/gs=")</f>
        <v>#REF!</v>
      </c>
      <c r="M16" t="e">
        <f>AND(#REF!,"AAAAAG/t/gw=")</f>
        <v>#REF!</v>
      </c>
      <c r="N16" t="e">
        <f>AND(#REF!,"AAAAAG/t/g0=")</f>
        <v>#REF!</v>
      </c>
      <c r="O16" t="e">
        <f>AND(#REF!,"AAAAAG/t/g4=")</f>
        <v>#REF!</v>
      </c>
      <c r="P16" t="e">
        <f>AND(#REF!,"AAAAAG/t/g8=")</f>
        <v>#REF!</v>
      </c>
      <c r="Q16" t="e">
        <f>AND(#REF!,"AAAAAG/t/hA=")</f>
        <v>#REF!</v>
      </c>
      <c r="R16" t="e">
        <f>AND(#REF!,"AAAAAG/t/hE=")</f>
        <v>#REF!</v>
      </c>
      <c r="S16" t="e">
        <f>AND(#REF!,"AAAAAG/t/hI=")</f>
        <v>#REF!</v>
      </c>
      <c r="T16" t="e">
        <f>AND(#REF!,"AAAAAG/t/hM=")</f>
        <v>#REF!</v>
      </c>
      <c r="U16" t="e">
        <f>AND(#REF!,"AAAAAG/t/hQ=")</f>
        <v>#REF!</v>
      </c>
      <c r="V16" t="e">
        <f>AND(#REF!,"AAAAAG/t/hU=")</f>
        <v>#REF!</v>
      </c>
      <c r="W16" t="e">
        <f>AND(#REF!,"AAAAAG/t/hY=")</f>
        <v>#REF!</v>
      </c>
      <c r="X16" t="e">
        <f>AND(#REF!,"AAAAAG/t/hc=")</f>
        <v>#REF!</v>
      </c>
      <c r="Y16" t="e">
        <f>AND(#REF!,"AAAAAG/t/hg=")</f>
        <v>#REF!</v>
      </c>
      <c r="Z16" t="e">
        <f>AND(#REF!,"AAAAAG/t/hk=")</f>
        <v>#REF!</v>
      </c>
      <c r="AA16" t="e">
        <f>AND(#REF!,"AAAAAG/t/ho=")</f>
        <v>#REF!</v>
      </c>
      <c r="AB16" t="e">
        <f>AND(#REF!,"AAAAAG/t/hs=")</f>
        <v>#REF!</v>
      </c>
      <c r="AC16" t="e">
        <f>AND(#REF!,"AAAAAG/t/hw=")</f>
        <v>#REF!</v>
      </c>
      <c r="AD16" t="e">
        <f>AND(#REF!,"AAAAAG/t/h0=")</f>
        <v>#REF!</v>
      </c>
      <c r="AE16" t="e">
        <f>AND(#REF!,"AAAAAG/t/h4=")</f>
        <v>#REF!</v>
      </c>
      <c r="AF16" t="e">
        <f>AND(#REF!,"AAAAAG/t/h8=")</f>
        <v>#REF!</v>
      </c>
      <c r="AG16" t="e">
        <f>AND(#REF!,"AAAAAG/t/iA=")</f>
        <v>#REF!</v>
      </c>
      <c r="AH16" t="e">
        <f>AND(#REF!,"AAAAAG/t/iE=")</f>
        <v>#REF!</v>
      </c>
      <c r="AI16" t="e">
        <f>AND(#REF!,"AAAAAG/t/iI=")</f>
        <v>#REF!</v>
      </c>
      <c r="AJ16" t="e">
        <f>AND(#REF!,"AAAAAG/t/iM=")</f>
        <v>#REF!</v>
      </c>
      <c r="AK16" t="e">
        <f>AND(#REF!,"AAAAAG/t/iQ=")</f>
        <v>#REF!</v>
      </c>
      <c r="AL16" t="e">
        <f>AND(#REF!,"AAAAAG/t/iU=")</f>
        <v>#REF!</v>
      </c>
      <c r="AM16" t="e">
        <f>AND(#REF!,"AAAAAG/t/iY=")</f>
        <v>#REF!</v>
      </c>
      <c r="AN16" t="e">
        <f>AND(#REF!,"AAAAAG/t/ic=")</f>
        <v>#REF!</v>
      </c>
      <c r="AO16" t="e">
        <f>AND(#REF!,"AAAAAG/t/ig=")</f>
        <v>#REF!</v>
      </c>
      <c r="AP16" t="e">
        <f>AND(#REF!,"AAAAAG/t/ik=")</f>
        <v>#REF!</v>
      </c>
      <c r="AQ16" t="e">
        <f>AND(#REF!,"AAAAAG/t/io=")</f>
        <v>#REF!</v>
      </c>
      <c r="AR16" t="e">
        <f>AND(#REF!,"AAAAAG/t/is=")</f>
        <v>#REF!</v>
      </c>
      <c r="AS16" t="e">
        <f>AND(#REF!,"AAAAAG/t/iw=")</f>
        <v>#REF!</v>
      </c>
      <c r="AT16" t="e">
        <f>AND(#REF!,"AAAAAG/t/i0=")</f>
        <v>#REF!</v>
      </c>
      <c r="AU16" t="e">
        <f>AND(#REF!,"AAAAAG/t/i4=")</f>
        <v>#REF!</v>
      </c>
      <c r="AV16" t="e">
        <f>AND(#REF!,"AAAAAG/t/i8=")</f>
        <v>#REF!</v>
      </c>
      <c r="AW16" t="e">
        <f>AND(#REF!,"AAAAAG/t/jA=")</f>
        <v>#REF!</v>
      </c>
      <c r="AX16" t="e">
        <f>AND(#REF!,"AAAAAG/t/jE=")</f>
        <v>#REF!</v>
      </c>
      <c r="AY16" t="e">
        <f>AND(#REF!,"AAAAAG/t/jI=")</f>
        <v>#REF!</v>
      </c>
      <c r="AZ16" t="e">
        <f>AND(#REF!,"AAAAAG/t/jM=")</f>
        <v>#REF!</v>
      </c>
      <c r="BA16" t="e">
        <f>AND(#REF!,"AAAAAG/t/jQ=")</f>
        <v>#REF!</v>
      </c>
      <c r="BB16" t="e">
        <f>AND(#REF!,"AAAAAG/t/jU=")</f>
        <v>#REF!</v>
      </c>
      <c r="BC16" t="e">
        <f>AND(#REF!,"AAAAAG/t/jY=")</f>
        <v>#REF!</v>
      </c>
      <c r="BD16" t="e">
        <f>AND(#REF!,"AAAAAG/t/jc=")</f>
        <v>#REF!</v>
      </c>
      <c r="BE16" t="e">
        <f>AND(#REF!,"AAAAAG/t/jg=")</f>
        <v>#REF!</v>
      </c>
      <c r="BF16" t="e">
        <f>AND(#REF!,"AAAAAG/t/jk=")</f>
        <v>#REF!</v>
      </c>
      <c r="BG16" t="e">
        <f>AND(#REF!,"AAAAAG/t/jo=")</f>
        <v>#REF!</v>
      </c>
      <c r="BH16" t="e">
        <f>AND(#REF!,"AAAAAG/t/js=")</f>
        <v>#REF!</v>
      </c>
      <c r="BI16" t="e">
        <f>AND(#REF!,"AAAAAG/t/jw=")</f>
        <v>#REF!</v>
      </c>
      <c r="BJ16" t="e">
        <f>AND(#REF!,"AAAAAG/t/j0=")</f>
        <v>#REF!</v>
      </c>
      <c r="BK16" t="e">
        <f>AND(#REF!,"AAAAAG/t/j4=")</f>
        <v>#REF!</v>
      </c>
      <c r="BL16" t="e">
        <f>AND(#REF!,"AAAAAG/t/j8=")</f>
        <v>#REF!</v>
      </c>
      <c r="BM16" t="e">
        <f>AND(#REF!,"AAAAAG/t/kA=")</f>
        <v>#REF!</v>
      </c>
      <c r="BN16" t="e">
        <f>AND(#REF!,"AAAAAG/t/kE=")</f>
        <v>#REF!</v>
      </c>
      <c r="BO16" t="e">
        <f>AND(#REF!,"AAAAAG/t/kI=")</f>
        <v>#REF!</v>
      </c>
      <c r="BP16" t="e">
        <f>AND(#REF!,"AAAAAG/t/kM=")</f>
        <v>#REF!</v>
      </c>
      <c r="BQ16" t="e">
        <f>AND(#REF!,"AAAAAG/t/kQ=")</f>
        <v>#REF!</v>
      </c>
      <c r="BR16" t="e">
        <f>AND(#REF!,"AAAAAG/t/kU=")</f>
        <v>#REF!</v>
      </c>
      <c r="BS16" t="e">
        <f>AND(#REF!,"AAAAAG/t/kY=")</f>
        <v>#REF!</v>
      </c>
      <c r="BT16" t="e">
        <f>AND(#REF!,"AAAAAG/t/kc=")</f>
        <v>#REF!</v>
      </c>
      <c r="BU16" t="e">
        <f>AND(#REF!,"AAAAAG/t/kg=")</f>
        <v>#REF!</v>
      </c>
      <c r="BV16" t="e">
        <f>AND(#REF!,"AAAAAG/t/kk=")</f>
        <v>#REF!</v>
      </c>
      <c r="BW16" t="e">
        <f>AND(#REF!,"AAAAAG/t/ko=")</f>
        <v>#REF!</v>
      </c>
      <c r="BX16" t="e">
        <f>AND(#REF!,"AAAAAG/t/ks=")</f>
        <v>#REF!</v>
      </c>
      <c r="BY16" t="e">
        <f>AND(#REF!,"AAAAAG/t/kw=")</f>
        <v>#REF!</v>
      </c>
      <c r="BZ16" t="e">
        <f>AND(#REF!,"AAAAAG/t/k0=")</f>
        <v>#REF!</v>
      </c>
      <c r="CA16" t="e">
        <f>AND(#REF!,"AAAAAG/t/k4=")</f>
        <v>#REF!</v>
      </c>
      <c r="CB16" t="e">
        <f>AND(#REF!,"AAAAAG/t/k8=")</f>
        <v>#REF!</v>
      </c>
      <c r="CC16" t="e">
        <f>AND(#REF!,"AAAAAG/t/lA=")</f>
        <v>#REF!</v>
      </c>
      <c r="CD16" t="e">
        <f>AND(#REF!,"AAAAAG/t/lE=")</f>
        <v>#REF!</v>
      </c>
      <c r="CE16" t="e">
        <f>AND(#REF!,"AAAAAG/t/lI=")</f>
        <v>#REF!</v>
      </c>
      <c r="CF16" t="e">
        <f>AND(#REF!,"AAAAAG/t/lM=")</f>
        <v>#REF!</v>
      </c>
      <c r="CG16" t="e">
        <f>AND(#REF!,"AAAAAG/t/lQ=")</f>
        <v>#REF!</v>
      </c>
      <c r="CH16" t="e">
        <f>AND(#REF!,"AAAAAG/t/lU=")</f>
        <v>#REF!</v>
      </c>
      <c r="CI16" t="e">
        <f>AND(#REF!,"AAAAAG/t/lY=")</f>
        <v>#REF!</v>
      </c>
      <c r="CJ16" t="e">
        <f>AND(#REF!,"AAAAAG/t/lc=")</f>
        <v>#REF!</v>
      </c>
      <c r="CK16" t="e">
        <f>AND(#REF!,"AAAAAG/t/lg=")</f>
        <v>#REF!</v>
      </c>
      <c r="CL16" t="e">
        <f>AND(#REF!,"AAAAAG/t/lk=")</f>
        <v>#REF!</v>
      </c>
      <c r="CM16" t="e">
        <f>AND(#REF!,"AAAAAG/t/lo=")</f>
        <v>#REF!</v>
      </c>
      <c r="CN16" t="e">
        <f>AND(#REF!,"AAAAAG/t/ls=")</f>
        <v>#REF!</v>
      </c>
      <c r="CO16" t="e">
        <f>AND(#REF!,"AAAAAG/t/lw=")</f>
        <v>#REF!</v>
      </c>
      <c r="CP16" t="e">
        <f>AND(#REF!,"AAAAAG/t/l0=")</f>
        <v>#REF!</v>
      </c>
      <c r="CQ16" t="e">
        <f>AND(#REF!,"AAAAAG/t/l4=")</f>
        <v>#REF!</v>
      </c>
      <c r="CR16" t="e">
        <f>AND(#REF!,"AAAAAG/t/l8=")</f>
        <v>#REF!</v>
      </c>
      <c r="CS16" t="e">
        <f>AND(#REF!,"AAAAAG/t/mA=")</f>
        <v>#REF!</v>
      </c>
      <c r="CT16" t="e">
        <f>AND(#REF!,"AAAAAG/t/mE=")</f>
        <v>#REF!</v>
      </c>
      <c r="CU16" t="e">
        <f>AND(#REF!,"AAAAAG/t/mI=")</f>
        <v>#REF!</v>
      </c>
      <c r="CV16" t="e">
        <f>AND(#REF!,"AAAAAG/t/mM=")</f>
        <v>#REF!</v>
      </c>
      <c r="CW16" t="e">
        <f>AND(#REF!,"AAAAAG/t/mQ=")</f>
        <v>#REF!</v>
      </c>
      <c r="CX16" t="e">
        <f>AND(#REF!,"AAAAAG/t/mU=")</f>
        <v>#REF!</v>
      </c>
      <c r="CY16" t="e">
        <f>AND(#REF!,"AAAAAG/t/mY=")</f>
        <v>#REF!</v>
      </c>
      <c r="CZ16" t="e">
        <f>AND(#REF!,"AAAAAG/t/mc=")</f>
        <v>#REF!</v>
      </c>
      <c r="DA16" t="e">
        <f>AND(#REF!,"AAAAAG/t/mg=")</f>
        <v>#REF!</v>
      </c>
      <c r="DB16" t="e">
        <f>AND(#REF!,"AAAAAG/t/mk=")</f>
        <v>#REF!</v>
      </c>
      <c r="DC16" t="e">
        <f>AND(#REF!,"AAAAAG/t/mo=")</f>
        <v>#REF!</v>
      </c>
      <c r="DD16" t="e">
        <f>AND(#REF!,"AAAAAG/t/ms=")</f>
        <v>#REF!</v>
      </c>
      <c r="DE16" t="e">
        <f>AND(#REF!,"AAAAAG/t/mw=")</f>
        <v>#REF!</v>
      </c>
      <c r="DF16" t="e">
        <f>AND(#REF!,"AAAAAG/t/m0=")</f>
        <v>#REF!</v>
      </c>
      <c r="DG16" t="e">
        <f>AND(#REF!,"AAAAAG/t/m4=")</f>
        <v>#REF!</v>
      </c>
      <c r="DH16" t="e">
        <f>AND(#REF!,"AAAAAG/t/m8=")</f>
        <v>#REF!</v>
      </c>
      <c r="DI16" t="e">
        <f>AND(#REF!,"AAAAAG/t/nA=")</f>
        <v>#REF!</v>
      </c>
      <c r="DJ16" t="e">
        <f>AND(#REF!,"AAAAAG/t/nE=")</f>
        <v>#REF!</v>
      </c>
      <c r="DK16" t="e">
        <f>AND(#REF!,"AAAAAG/t/nI=")</f>
        <v>#REF!</v>
      </c>
      <c r="DL16" t="e">
        <f>AND(#REF!,"AAAAAG/t/nM=")</f>
        <v>#REF!</v>
      </c>
      <c r="DM16" t="e">
        <f>AND(#REF!,"AAAAAG/t/nQ=")</f>
        <v>#REF!</v>
      </c>
      <c r="DN16" t="e">
        <f>AND(#REF!,"AAAAAG/t/nU=")</f>
        <v>#REF!</v>
      </c>
      <c r="DO16" t="e">
        <f>AND(#REF!,"AAAAAG/t/nY=")</f>
        <v>#REF!</v>
      </c>
      <c r="DP16" t="e">
        <f>AND(#REF!,"AAAAAG/t/nc=")</f>
        <v>#REF!</v>
      </c>
      <c r="DQ16" t="e">
        <f>AND(#REF!,"AAAAAG/t/ng=")</f>
        <v>#REF!</v>
      </c>
      <c r="DR16" t="e">
        <f>AND(#REF!,"AAAAAG/t/nk=")</f>
        <v>#REF!</v>
      </c>
      <c r="DS16" t="e">
        <f>AND(#REF!,"AAAAAG/t/no=")</f>
        <v>#REF!</v>
      </c>
      <c r="DT16" t="e">
        <f>AND(#REF!,"AAAAAG/t/ns=")</f>
        <v>#REF!</v>
      </c>
      <c r="DU16" t="e">
        <f>AND(#REF!,"AAAAAG/t/nw=")</f>
        <v>#REF!</v>
      </c>
      <c r="DV16" t="e">
        <f>AND(#REF!,"AAAAAG/t/n0=")</f>
        <v>#REF!</v>
      </c>
      <c r="DW16" t="e">
        <f>AND(#REF!,"AAAAAG/t/n4=")</f>
        <v>#REF!</v>
      </c>
      <c r="DX16" t="e">
        <f>AND(#REF!,"AAAAAG/t/n8=")</f>
        <v>#REF!</v>
      </c>
      <c r="DY16" t="e">
        <f>AND(#REF!,"AAAAAG/t/oA=")</f>
        <v>#REF!</v>
      </c>
      <c r="DZ16" t="e">
        <f>AND(#REF!,"AAAAAG/t/oE=")</f>
        <v>#REF!</v>
      </c>
      <c r="EA16" t="e">
        <f>AND(#REF!,"AAAAAG/t/oI=")</f>
        <v>#REF!</v>
      </c>
      <c r="EB16" t="e">
        <f>AND(#REF!,"AAAAAG/t/oM=")</f>
        <v>#REF!</v>
      </c>
      <c r="EC16" t="e">
        <f>AND(#REF!,"AAAAAG/t/oQ=")</f>
        <v>#REF!</v>
      </c>
      <c r="ED16" t="e">
        <f>AND(#REF!,"AAAAAG/t/oU=")</f>
        <v>#REF!</v>
      </c>
      <c r="EE16" t="e">
        <f>AND(#REF!,"AAAAAG/t/oY=")</f>
        <v>#REF!</v>
      </c>
      <c r="EF16" t="e">
        <f>AND(#REF!,"AAAAAG/t/oc=")</f>
        <v>#REF!</v>
      </c>
      <c r="EG16" t="e">
        <f>AND(#REF!,"AAAAAG/t/og=")</f>
        <v>#REF!</v>
      </c>
      <c r="EH16" t="e">
        <f>AND(#REF!,"AAAAAG/t/ok=")</f>
        <v>#REF!</v>
      </c>
      <c r="EI16" t="e">
        <f>AND(#REF!,"AAAAAG/t/oo=")</f>
        <v>#REF!</v>
      </c>
      <c r="EJ16" t="e">
        <f>AND(#REF!,"AAAAAG/t/os=")</f>
        <v>#REF!</v>
      </c>
      <c r="EK16" t="e">
        <f>AND(#REF!,"AAAAAG/t/ow=")</f>
        <v>#REF!</v>
      </c>
      <c r="EL16" t="e">
        <f>AND(#REF!,"AAAAAG/t/o0=")</f>
        <v>#REF!</v>
      </c>
      <c r="EM16" t="e">
        <f>AND(#REF!,"AAAAAG/t/o4=")</f>
        <v>#REF!</v>
      </c>
      <c r="EN16" t="e">
        <f>AND(#REF!,"AAAAAG/t/o8=")</f>
        <v>#REF!</v>
      </c>
      <c r="EO16" t="e">
        <f>AND(#REF!,"AAAAAG/t/pA=")</f>
        <v>#REF!</v>
      </c>
      <c r="EP16" t="e">
        <f>AND(#REF!,"AAAAAG/t/pE=")</f>
        <v>#REF!</v>
      </c>
      <c r="EQ16" t="e">
        <f>AND(#REF!,"AAAAAG/t/pI=")</f>
        <v>#REF!</v>
      </c>
      <c r="ER16" t="e">
        <f>AND(#REF!,"AAAAAG/t/pM=")</f>
        <v>#REF!</v>
      </c>
      <c r="ES16" t="e">
        <f>AND(#REF!,"AAAAAG/t/pQ=")</f>
        <v>#REF!</v>
      </c>
      <c r="ET16" t="e">
        <f>AND(#REF!,"AAAAAG/t/pU=")</f>
        <v>#REF!</v>
      </c>
      <c r="EU16" t="e">
        <f>AND(#REF!,"AAAAAG/t/pY=")</f>
        <v>#REF!</v>
      </c>
      <c r="EV16" t="e">
        <f>AND(#REF!,"AAAAAG/t/pc=")</f>
        <v>#REF!</v>
      </c>
      <c r="EW16" t="e">
        <f>AND(#REF!,"AAAAAG/t/pg=")</f>
        <v>#REF!</v>
      </c>
      <c r="EX16" t="e">
        <f>AND(#REF!,"AAAAAG/t/pk=")</f>
        <v>#REF!</v>
      </c>
      <c r="EY16" t="e">
        <f>AND(#REF!,"AAAAAG/t/po=")</f>
        <v>#REF!</v>
      </c>
      <c r="EZ16" t="e">
        <f>AND(#REF!,"AAAAAG/t/ps=")</f>
        <v>#REF!</v>
      </c>
      <c r="FA16" t="e">
        <f>AND(#REF!,"AAAAAG/t/pw=")</f>
        <v>#REF!</v>
      </c>
      <c r="FB16" t="e">
        <f>AND(#REF!,"AAAAAG/t/p0=")</f>
        <v>#REF!</v>
      </c>
      <c r="FC16" t="e">
        <f>AND(#REF!,"AAAAAG/t/p4=")</f>
        <v>#REF!</v>
      </c>
      <c r="FD16" t="e">
        <f>AND(#REF!,"AAAAAG/t/p8=")</f>
        <v>#REF!</v>
      </c>
      <c r="FE16" t="e">
        <f>AND(#REF!,"AAAAAG/t/qA=")</f>
        <v>#REF!</v>
      </c>
      <c r="FF16" t="e">
        <f>AND(#REF!,"AAAAAG/t/qE=")</f>
        <v>#REF!</v>
      </c>
      <c r="FG16" t="e">
        <f>AND(#REF!,"AAAAAG/t/qI=")</f>
        <v>#REF!</v>
      </c>
      <c r="FH16" t="e">
        <f>AND(#REF!,"AAAAAG/t/qM=")</f>
        <v>#REF!</v>
      </c>
      <c r="FI16" t="e">
        <f>AND(#REF!,"AAAAAG/t/qQ=")</f>
        <v>#REF!</v>
      </c>
      <c r="FJ16" t="e">
        <f>AND(#REF!,"AAAAAG/t/qU=")</f>
        <v>#REF!</v>
      </c>
      <c r="FK16" t="e">
        <f>AND(#REF!,"AAAAAG/t/qY=")</f>
        <v>#REF!</v>
      </c>
      <c r="FL16" t="e">
        <f>AND(#REF!,"AAAAAG/t/qc=")</f>
        <v>#REF!</v>
      </c>
      <c r="FM16" t="e">
        <f>AND(#REF!,"AAAAAG/t/qg=")</f>
        <v>#REF!</v>
      </c>
      <c r="FN16" t="e">
        <f>AND(#REF!,"AAAAAG/t/qk=")</f>
        <v>#REF!</v>
      </c>
      <c r="FO16" t="e">
        <f>AND(#REF!,"AAAAAG/t/qo=")</f>
        <v>#REF!</v>
      </c>
      <c r="FP16" t="e">
        <f>AND(#REF!,"AAAAAG/t/qs=")</f>
        <v>#REF!</v>
      </c>
      <c r="FQ16" t="e">
        <f>AND(#REF!,"AAAAAG/t/qw=")</f>
        <v>#REF!</v>
      </c>
      <c r="FR16" t="e">
        <f>AND(#REF!,"AAAAAG/t/q0=")</f>
        <v>#REF!</v>
      </c>
      <c r="FS16" t="e">
        <f>AND(#REF!,"AAAAAG/t/q4=")</f>
        <v>#REF!</v>
      </c>
      <c r="FT16" t="e">
        <f>AND(#REF!,"AAAAAG/t/q8=")</f>
        <v>#REF!</v>
      </c>
      <c r="FU16" t="e">
        <f>AND(#REF!,"AAAAAG/t/rA=")</f>
        <v>#REF!</v>
      </c>
      <c r="FV16" t="e">
        <f>AND(#REF!,"AAAAAG/t/rE=")</f>
        <v>#REF!</v>
      </c>
      <c r="FW16" t="e">
        <f>AND(#REF!,"AAAAAG/t/rI=")</f>
        <v>#REF!</v>
      </c>
      <c r="FX16" t="e">
        <f>AND(#REF!,"AAAAAG/t/rM=")</f>
        <v>#REF!</v>
      </c>
      <c r="FY16" t="e">
        <f>AND(#REF!,"AAAAAG/t/rQ=")</f>
        <v>#REF!</v>
      </c>
      <c r="FZ16" t="e">
        <f>AND(#REF!,"AAAAAG/t/rU=")</f>
        <v>#REF!</v>
      </c>
      <c r="GA16" t="e">
        <f>AND(#REF!,"AAAAAG/t/rY=")</f>
        <v>#REF!</v>
      </c>
      <c r="GB16" t="e">
        <f>AND(#REF!,"AAAAAG/t/rc=")</f>
        <v>#REF!</v>
      </c>
      <c r="GC16" t="e">
        <f>AND(#REF!,"AAAAAG/t/rg=")</f>
        <v>#REF!</v>
      </c>
      <c r="GD16" t="e">
        <f>AND(#REF!,"AAAAAG/t/rk=")</f>
        <v>#REF!</v>
      </c>
      <c r="GE16" t="e">
        <f>AND(#REF!,"AAAAAG/t/ro=")</f>
        <v>#REF!</v>
      </c>
      <c r="GF16" t="e">
        <f>AND(#REF!,"AAAAAG/t/rs=")</f>
        <v>#REF!</v>
      </c>
      <c r="GG16" t="e">
        <f>AND(#REF!,"AAAAAG/t/rw=")</f>
        <v>#REF!</v>
      </c>
      <c r="GH16" t="e">
        <f>AND(#REF!,"AAAAAG/t/r0=")</f>
        <v>#REF!</v>
      </c>
      <c r="GI16" t="e">
        <f>AND(#REF!,"AAAAAG/t/r4=")</f>
        <v>#REF!</v>
      </c>
      <c r="GJ16" t="e">
        <f>AND(#REF!,"AAAAAG/t/r8=")</f>
        <v>#REF!</v>
      </c>
      <c r="GK16" t="e">
        <f>AND(#REF!,"AAAAAG/t/sA=")</f>
        <v>#REF!</v>
      </c>
      <c r="GL16" t="e">
        <f>AND(#REF!,"AAAAAG/t/sE=")</f>
        <v>#REF!</v>
      </c>
      <c r="GM16" t="e">
        <f>AND(#REF!,"AAAAAG/t/sI=")</f>
        <v>#REF!</v>
      </c>
      <c r="GN16" t="e">
        <f>AND(#REF!,"AAAAAG/t/sM=")</f>
        <v>#REF!</v>
      </c>
      <c r="GO16" t="e">
        <f>AND(#REF!,"AAAAAG/t/sQ=")</f>
        <v>#REF!</v>
      </c>
      <c r="GP16" t="e">
        <f>AND(#REF!,"AAAAAG/t/sU=")</f>
        <v>#REF!</v>
      </c>
      <c r="GQ16" t="e">
        <f>AND(#REF!,"AAAAAG/t/sY=")</f>
        <v>#REF!</v>
      </c>
      <c r="GR16" t="e">
        <f>AND(#REF!,"AAAAAG/t/sc=")</f>
        <v>#REF!</v>
      </c>
      <c r="GS16" t="e">
        <f>AND(#REF!,"AAAAAG/t/sg=")</f>
        <v>#REF!</v>
      </c>
      <c r="GT16" t="e">
        <f>AND(#REF!,"AAAAAG/t/sk=")</f>
        <v>#REF!</v>
      </c>
      <c r="GU16" t="e">
        <f>AND(#REF!,"AAAAAG/t/so=")</f>
        <v>#REF!</v>
      </c>
      <c r="GV16" t="e">
        <f>AND(#REF!,"AAAAAG/t/ss=")</f>
        <v>#REF!</v>
      </c>
      <c r="GW16" t="e">
        <f>AND(#REF!,"AAAAAG/t/sw=")</f>
        <v>#REF!</v>
      </c>
      <c r="GX16" t="e">
        <f>AND(#REF!,"AAAAAG/t/s0=")</f>
        <v>#REF!</v>
      </c>
      <c r="GY16" t="e">
        <f>AND(#REF!,"AAAAAG/t/s4=")</f>
        <v>#REF!</v>
      </c>
      <c r="GZ16" t="e">
        <f>AND(#REF!,"AAAAAG/t/s8=")</f>
        <v>#REF!</v>
      </c>
      <c r="HA16" t="e">
        <f>AND(#REF!,"AAAAAG/t/tA=")</f>
        <v>#REF!</v>
      </c>
      <c r="HB16" t="e">
        <f>AND(#REF!,"AAAAAG/t/tE=")</f>
        <v>#REF!</v>
      </c>
      <c r="HC16" t="e">
        <f>AND(#REF!,"AAAAAG/t/tI=")</f>
        <v>#REF!</v>
      </c>
      <c r="HD16" t="e">
        <f>AND(#REF!,"AAAAAG/t/tM=")</f>
        <v>#REF!</v>
      </c>
      <c r="HE16" t="e">
        <f>AND(#REF!,"AAAAAG/t/tQ=")</f>
        <v>#REF!</v>
      </c>
      <c r="HF16" t="e">
        <f>AND(#REF!,"AAAAAG/t/tU=")</f>
        <v>#REF!</v>
      </c>
      <c r="HG16" t="e">
        <f>AND(#REF!,"AAAAAG/t/tY=")</f>
        <v>#REF!</v>
      </c>
      <c r="HH16" t="e">
        <f>AND(#REF!,"AAAAAG/t/tc=")</f>
        <v>#REF!</v>
      </c>
      <c r="HI16" t="e">
        <f>AND(#REF!,"AAAAAG/t/tg=")</f>
        <v>#REF!</v>
      </c>
      <c r="HJ16" t="e">
        <f>AND(#REF!,"AAAAAG/t/tk=")</f>
        <v>#REF!</v>
      </c>
      <c r="HK16" t="e">
        <f>AND(#REF!,"AAAAAG/t/to=")</f>
        <v>#REF!</v>
      </c>
      <c r="HL16" t="e">
        <f>AND(#REF!,"AAAAAG/t/ts=")</f>
        <v>#REF!</v>
      </c>
      <c r="HM16" t="e">
        <f>AND(#REF!,"AAAAAG/t/tw=")</f>
        <v>#REF!</v>
      </c>
      <c r="HN16" t="e">
        <f>AND(#REF!,"AAAAAG/t/t0=")</f>
        <v>#REF!</v>
      </c>
      <c r="HO16" t="e">
        <f>AND(#REF!,"AAAAAG/t/t4=")</f>
        <v>#REF!</v>
      </c>
      <c r="HP16" t="e">
        <f>AND(#REF!,"AAAAAG/t/t8=")</f>
        <v>#REF!</v>
      </c>
      <c r="HQ16" t="e">
        <f>AND(#REF!,"AAAAAG/t/uA=")</f>
        <v>#REF!</v>
      </c>
      <c r="HR16" t="e">
        <f>AND(#REF!,"AAAAAG/t/uE=")</f>
        <v>#REF!</v>
      </c>
      <c r="HS16" t="e">
        <f>AND(#REF!,"AAAAAG/t/uI=")</f>
        <v>#REF!</v>
      </c>
      <c r="HT16" t="e">
        <f>AND(#REF!,"AAAAAG/t/uM=")</f>
        <v>#REF!</v>
      </c>
      <c r="HU16" t="e">
        <f>AND(#REF!,"AAAAAG/t/uQ=")</f>
        <v>#REF!</v>
      </c>
      <c r="HV16" t="e">
        <f>AND(#REF!,"AAAAAG/t/uU=")</f>
        <v>#REF!</v>
      </c>
      <c r="HW16" t="e">
        <f>AND(#REF!,"AAAAAG/t/uY=")</f>
        <v>#REF!</v>
      </c>
      <c r="HX16" t="e">
        <f>AND(#REF!,"AAAAAG/t/uc=")</f>
        <v>#REF!</v>
      </c>
      <c r="HY16" t="e">
        <f>AND(#REF!,"AAAAAG/t/ug=")</f>
        <v>#REF!</v>
      </c>
      <c r="HZ16" t="e">
        <f>AND(#REF!,"AAAAAG/t/uk=")</f>
        <v>#REF!</v>
      </c>
      <c r="IA16" t="e">
        <f>AND(#REF!,"AAAAAG/t/uo=")</f>
        <v>#REF!</v>
      </c>
      <c r="IB16" t="e">
        <f>AND(#REF!,"AAAAAG/t/us=")</f>
        <v>#REF!</v>
      </c>
      <c r="IC16" t="e">
        <f>AND(#REF!,"AAAAAG/t/uw=")</f>
        <v>#REF!</v>
      </c>
      <c r="ID16" t="e">
        <f>AND(#REF!,"AAAAAG/t/u0=")</f>
        <v>#REF!</v>
      </c>
      <c r="IE16" t="e">
        <f>AND(#REF!,"AAAAAG/t/u4=")</f>
        <v>#REF!</v>
      </c>
      <c r="IF16" t="e">
        <f>AND(#REF!,"AAAAAG/t/u8=")</f>
        <v>#REF!</v>
      </c>
      <c r="IG16" t="e">
        <f>AND(#REF!,"AAAAAG/t/vA=")</f>
        <v>#REF!</v>
      </c>
      <c r="IH16" t="e">
        <f>AND(#REF!,"AAAAAG/t/vE=")</f>
        <v>#REF!</v>
      </c>
      <c r="II16" t="e">
        <f>AND(#REF!,"AAAAAG/t/vI=")</f>
        <v>#REF!</v>
      </c>
      <c r="IJ16" t="e">
        <f>AND(#REF!,"AAAAAG/t/vM=")</f>
        <v>#REF!</v>
      </c>
      <c r="IK16" t="e">
        <f>AND(#REF!,"AAAAAG/t/vQ=")</f>
        <v>#REF!</v>
      </c>
      <c r="IL16" t="e">
        <f>AND(#REF!,"AAAAAG/t/vU=")</f>
        <v>#REF!</v>
      </c>
      <c r="IM16" t="e">
        <f>AND(#REF!,"AAAAAG/t/vY=")</f>
        <v>#REF!</v>
      </c>
      <c r="IN16" t="e">
        <f>AND(#REF!,"AAAAAG/t/vc=")</f>
        <v>#REF!</v>
      </c>
      <c r="IO16" t="e">
        <f>AND(#REF!,"AAAAAG/t/vg=")</f>
        <v>#REF!</v>
      </c>
      <c r="IP16" t="e">
        <f>AND(#REF!,"AAAAAG/t/vk=")</f>
        <v>#REF!</v>
      </c>
      <c r="IQ16" t="e">
        <f>AND(#REF!,"AAAAAG/t/vo=")</f>
        <v>#REF!</v>
      </c>
      <c r="IR16" t="e">
        <f>AND(#REF!,"AAAAAG/t/vs=")</f>
        <v>#REF!</v>
      </c>
      <c r="IS16" t="e">
        <f>AND(#REF!,"AAAAAG/t/vw=")</f>
        <v>#REF!</v>
      </c>
      <c r="IT16" t="e">
        <f>AND(#REF!,"AAAAAG/t/v0=")</f>
        <v>#REF!</v>
      </c>
      <c r="IU16" t="e">
        <f>AND(#REF!,"AAAAAG/t/v4=")</f>
        <v>#REF!</v>
      </c>
      <c r="IV16" t="e">
        <f>AND(#REF!,"AAAAAG/t/v8=")</f>
        <v>#REF!</v>
      </c>
    </row>
    <row r="17" spans="1:256" x14ac:dyDescent="0.25">
      <c r="A17" t="e">
        <f>AND(#REF!,"AAAAAHr73QA=")</f>
        <v>#REF!</v>
      </c>
      <c r="B17" t="e">
        <f>AND(#REF!,"AAAAAHr73QE=")</f>
        <v>#REF!</v>
      </c>
      <c r="C17" t="e">
        <f>AND(#REF!,"AAAAAHr73QI=")</f>
        <v>#REF!</v>
      </c>
      <c r="D17" t="e">
        <f>AND(#REF!,"AAAAAHr73QM=")</f>
        <v>#REF!</v>
      </c>
      <c r="E17" t="e">
        <f>AND(#REF!,"AAAAAHr73QQ=")</f>
        <v>#REF!</v>
      </c>
      <c r="F17" t="e">
        <f>AND(#REF!,"AAAAAHr73QU=")</f>
        <v>#REF!</v>
      </c>
      <c r="G17" t="e">
        <f>AND(#REF!,"AAAAAHr73QY=")</f>
        <v>#REF!</v>
      </c>
      <c r="H17" t="e">
        <f>AND(#REF!,"AAAAAHr73Qc=")</f>
        <v>#REF!</v>
      </c>
      <c r="I17" t="e">
        <f>AND(#REF!,"AAAAAHr73Qg=")</f>
        <v>#REF!</v>
      </c>
      <c r="J17" t="e">
        <f>IF(#REF!,"AAAAAHr73Qk=",0)</f>
        <v>#REF!</v>
      </c>
      <c r="K17" t="e">
        <f>AND(#REF!,"AAAAAHr73Qo=")</f>
        <v>#REF!</v>
      </c>
      <c r="L17" t="e">
        <f>AND(#REF!,"AAAAAHr73Qs=")</f>
        <v>#REF!</v>
      </c>
      <c r="M17" t="e">
        <f>AND(#REF!,"AAAAAHr73Qw=")</f>
        <v>#REF!</v>
      </c>
      <c r="N17" t="e">
        <f>AND(#REF!,"AAAAAHr73Q0=")</f>
        <v>#REF!</v>
      </c>
      <c r="O17" t="e">
        <f>AND(#REF!,"AAAAAHr73Q4=")</f>
        <v>#REF!</v>
      </c>
      <c r="P17" t="e">
        <f>AND(#REF!,"AAAAAHr73Q8=")</f>
        <v>#REF!</v>
      </c>
      <c r="Q17" t="e">
        <f>AND(#REF!,"AAAAAHr73RA=")</f>
        <v>#REF!</v>
      </c>
      <c r="R17" t="e">
        <f>AND(#REF!,"AAAAAHr73RE=")</f>
        <v>#REF!</v>
      </c>
      <c r="S17" t="e">
        <f>AND(#REF!,"AAAAAHr73RI=")</f>
        <v>#REF!</v>
      </c>
      <c r="T17" t="e">
        <f>AND(#REF!,"AAAAAHr73RM=")</f>
        <v>#REF!</v>
      </c>
      <c r="U17" t="e">
        <f>AND(#REF!,"AAAAAHr73RQ=")</f>
        <v>#REF!</v>
      </c>
      <c r="V17" t="e">
        <f>AND(#REF!,"AAAAAHr73RU=")</f>
        <v>#REF!</v>
      </c>
      <c r="W17" t="e">
        <f>AND(#REF!,"AAAAAHr73RY=")</f>
        <v>#REF!</v>
      </c>
      <c r="X17" t="e">
        <f>AND(#REF!,"AAAAAHr73Rc=")</f>
        <v>#REF!</v>
      </c>
      <c r="Y17" t="e">
        <f>AND(#REF!,"AAAAAHr73Rg=")</f>
        <v>#REF!</v>
      </c>
      <c r="Z17" t="e">
        <f>AND(#REF!,"AAAAAHr73Rk=")</f>
        <v>#REF!</v>
      </c>
      <c r="AA17" t="e">
        <f>AND(#REF!,"AAAAAHr73Ro=")</f>
        <v>#REF!</v>
      </c>
      <c r="AB17" t="e">
        <f>AND(#REF!,"AAAAAHr73Rs=")</f>
        <v>#REF!</v>
      </c>
      <c r="AC17" t="e">
        <f>AND(#REF!,"AAAAAHr73Rw=")</f>
        <v>#REF!</v>
      </c>
      <c r="AD17" t="e">
        <f>AND(#REF!,"AAAAAHr73R0=")</f>
        <v>#REF!</v>
      </c>
      <c r="AE17" t="e">
        <f>AND(#REF!,"AAAAAHr73R4=")</f>
        <v>#REF!</v>
      </c>
      <c r="AF17" t="e">
        <f>AND(#REF!,"AAAAAHr73R8=")</f>
        <v>#REF!</v>
      </c>
      <c r="AG17" t="e">
        <f>AND(#REF!,"AAAAAHr73SA=")</f>
        <v>#REF!</v>
      </c>
      <c r="AH17" t="e">
        <f>AND(#REF!,"AAAAAHr73SE=")</f>
        <v>#REF!</v>
      </c>
      <c r="AI17" t="e">
        <f>AND(#REF!,"AAAAAHr73SI=")</f>
        <v>#REF!</v>
      </c>
      <c r="AJ17" t="e">
        <f>AND(#REF!,"AAAAAHr73SM=")</f>
        <v>#REF!</v>
      </c>
      <c r="AK17" t="e">
        <f>AND(#REF!,"AAAAAHr73SQ=")</f>
        <v>#REF!</v>
      </c>
      <c r="AL17" t="e">
        <f>AND(#REF!,"AAAAAHr73SU=")</f>
        <v>#REF!</v>
      </c>
      <c r="AM17" t="e">
        <f>AND(#REF!,"AAAAAHr73SY=")</f>
        <v>#REF!</v>
      </c>
      <c r="AN17" t="e">
        <f>AND(#REF!,"AAAAAHr73Sc=")</f>
        <v>#REF!</v>
      </c>
      <c r="AO17" t="e">
        <f>AND(#REF!,"AAAAAHr73Sg=")</f>
        <v>#REF!</v>
      </c>
      <c r="AP17" t="e">
        <f>AND(#REF!,"AAAAAHr73Sk=")</f>
        <v>#REF!</v>
      </c>
      <c r="AQ17" t="e">
        <f>AND(#REF!,"AAAAAHr73So=")</f>
        <v>#REF!</v>
      </c>
      <c r="AR17" t="e">
        <f>AND(#REF!,"AAAAAHr73Ss=")</f>
        <v>#REF!</v>
      </c>
      <c r="AS17" t="e">
        <f>AND(#REF!,"AAAAAHr73Sw=")</f>
        <v>#REF!</v>
      </c>
      <c r="AT17" t="e">
        <f>AND(#REF!,"AAAAAHr73S0=")</f>
        <v>#REF!</v>
      </c>
      <c r="AU17" t="e">
        <f>AND(#REF!,"AAAAAHr73S4=")</f>
        <v>#REF!</v>
      </c>
      <c r="AV17" t="e">
        <f>AND(#REF!,"AAAAAHr73S8=")</f>
        <v>#REF!</v>
      </c>
      <c r="AW17" t="e">
        <f>AND(#REF!,"AAAAAHr73TA=")</f>
        <v>#REF!</v>
      </c>
      <c r="AX17" t="e">
        <f>AND(#REF!,"AAAAAHr73TE=")</f>
        <v>#REF!</v>
      </c>
      <c r="AY17" t="e">
        <f>AND(#REF!,"AAAAAHr73TI=")</f>
        <v>#REF!</v>
      </c>
      <c r="AZ17" t="e">
        <f>AND(#REF!,"AAAAAHr73TM=")</f>
        <v>#REF!</v>
      </c>
      <c r="BA17" t="e">
        <f>AND(#REF!,"AAAAAHr73TQ=")</f>
        <v>#REF!</v>
      </c>
      <c r="BB17" t="e">
        <f>AND(#REF!,"AAAAAHr73TU=")</f>
        <v>#REF!</v>
      </c>
      <c r="BC17" t="e">
        <f>AND(#REF!,"AAAAAHr73TY=")</f>
        <v>#REF!</v>
      </c>
      <c r="BD17" t="e">
        <f>AND(#REF!,"AAAAAHr73Tc=")</f>
        <v>#REF!</v>
      </c>
      <c r="BE17" t="e">
        <f>AND(#REF!,"AAAAAHr73Tg=")</f>
        <v>#REF!</v>
      </c>
      <c r="BF17" t="e">
        <f>AND(#REF!,"AAAAAHr73Tk=")</f>
        <v>#REF!</v>
      </c>
      <c r="BG17" t="e">
        <f>AND(#REF!,"AAAAAHr73To=")</f>
        <v>#REF!</v>
      </c>
      <c r="BH17" t="e">
        <f>AND(#REF!,"AAAAAHr73Ts=")</f>
        <v>#REF!</v>
      </c>
      <c r="BI17" t="e">
        <f>AND(#REF!,"AAAAAHr73Tw=")</f>
        <v>#REF!</v>
      </c>
      <c r="BJ17" t="e">
        <f>AND(#REF!,"AAAAAHr73T0=")</f>
        <v>#REF!</v>
      </c>
      <c r="BK17" t="e">
        <f>AND(#REF!,"AAAAAHr73T4=")</f>
        <v>#REF!</v>
      </c>
      <c r="BL17" t="e">
        <f>AND(#REF!,"AAAAAHr73T8=")</f>
        <v>#REF!</v>
      </c>
      <c r="BM17" t="e">
        <f>AND(#REF!,"AAAAAHr73UA=")</f>
        <v>#REF!</v>
      </c>
      <c r="BN17" t="e">
        <f>AND(#REF!,"AAAAAHr73UE=")</f>
        <v>#REF!</v>
      </c>
      <c r="BO17" t="e">
        <f>AND(#REF!,"AAAAAHr73UI=")</f>
        <v>#REF!</v>
      </c>
      <c r="BP17" t="e">
        <f>AND(#REF!,"AAAAAHr73UM=")</f>
        <v>#REF!</v>
      </c>
      <c r="BQ17" t="e">
        <f>AND(#REF!,"AAAAAHr73UQ=")</f>
        <v>#REF!</v>
      </c>
      <c r="BR17" t="e">
        <f>AND(#REF!,"AAAAAHr73UU=")</f>
        <v>#REF!</v>
      </c>
      <c r="BS17" t="e">
        <f>AND(#REF!,"AAAAAHr73UY=")</f>
        <v>#REF!</v>
      </c>
      <c r="BT17" t="e">
        <f>AND(#REF!,"AAAAAHr73Uc=")</f>
        <v>#REF!</v>
      </c>
      <c r="BU17" t="e">
        <f>AND(#REF!,"AAAAAHr73Ug=")</f>
        <v>#REF!</v>
      </c>
      <c r="BV17" t="e">
        <f>AND(#REF!,"AAAAAHr73Uk=")</f>
        <v>#REF!</v>
      </c>
      <c r="BW17" t="e">
        <f>AND(#REF!,"AAAAAHr73Uo=")</f>
        <v>#REF!</v>
      </c>
      <c r="BX17" t="e">
        <f>AND(#REF!,"AAAAAHr73Us=")</f>
        <v>#REF!</v>
      </c>
      <c r="BY17" t="e">
        <f>AND(#REF!,"AAAAAHr73Uw=")</f>
        <v>#REF!</v>
      </c>
      <c r="BZ17" t="e">
        <f>AND(#REF!,"AAAAAHr73U0=")</f>
        <v>#REF!</v>
      </c>
      <c r="CA17" t="e">
        <f>AND(#REF!,"AAAAAHr73U4=")</f>
        <v>#REF!</v>
      </c>
      <c r="CB17" t="e">
        <f>AND(#REF!,"AAAAAHr73U8=")</f>
        <v>#REF!</v>
      </c>
      <c r="CC17" t="e">
        <f>AND(#REF!,"AAAAAHr73VA=")</f>
        <v>#REF!</v>
      </c>
      <c r="CD17" t="e">
        <f>AND(#REF!,"AAAAAHr73VE=")</f>
        <v>#REF!</v>
      </c>
      <c r="CE17" t="e">
        <f>AND(#REF!,"AAAAAHr73VI=")</f>
        <v>#REF!</v>
      </c>
      <c r="CF17" t="e">
        <f>AND(#REF!,"AAAAAHr73VM=")</f>
        <v>#REF!</v>
      </c>
      <c r="CG17" t="e">
        <f>AND(#REF!,"AAAAAHr73VQ=")</f>
        <v>#REF!</v>
      </c>
      <c r="CH17" t="e">
        <f>AND(#REF!,"AAAAAHr73VU=")</f>
        <v>#REF!</v>
      </c>
      <c r="CI17" t="e">
        <f>AND(#REF!,"AAAAAHr73VY=")</f>
        <v>#REF!</v>
      </c>
      <c r="CJ17" t="e">
        <f>AND(#REF!,"AAAAAHr73Vc=")</f>
        <v>#REF!</v>
      </c>
      <c r="CK17" t="e">
        <f>AND(#REF!,"AAAAAHr73Vg=")</f>
        <v>#REF!</v>
      </c>
      <c r="CL17" t="e">
        <f>AND(#REF!,"AAAAAHr73Vk=")</f>
        <v>#REF!</v>
      </c>
      <c r="CM17" t="e">
        <f>AND(#REF!,"AAAAAHr73Vo=")</f>
        <v>#REF!</v>
      </c>
      <c r="CN17" t="e">
        <f>AND(#REF!,"AAAAAHr73Vs=")</f>
        <v>#REF!</v>
      </c>
      <c r="CO17" t="e">
        <f>AND(#REF!,"AAAAAHr73Vw=")</f>
        <v>#REF!</v>
      </c>
      <c r="CP17" t="e">
        <f>AND(#REF!,"AAAAAHr73V0=")</f>
        <v>#REF!</v>
      </c>
      <c r="CQ17" t="e">
        <f>AND(#REF!,"AAAAAHr73V4=")</f>
        <v>#REF!</v>
      </c>
      <c r="CR17" t="e">
        <f>AND(#REF!,"AAAAAHr73V8=")</f>
        <v>#REF!</v>
      </c>
      <c r="CS17" t="e">
        <f>AND(#REF!,"AAAAAHr73WA=")</f>
        <v>#REF!</v>
      </c>
      <c r="CT17" t="e">
        <f>AND(#REF!,"AAAAAHr73WE=")</f>
        <v>#REF!</v>
      </c>
      <c r="CU17" t="e">
        <f>AND(#REF!,"AAAAAHr73WI=")</f>
        <v>#REF!</v>
      </c>
      <c r="CV17" t="e">
        <f>AND(#REF!,"AAAAAHr73WM=")</f>
        <v>#REF!</v>
      </c>
      <c r="CW17" t="e">
        <f>AND(#REF!,"AAAAAHr73WQ=")</f>
        <v>#REF!</v>
      </c>
      <c r="CX17" t="e">
        <f>AND(#REF!,"AAAAAHr73WU=")</f>
        <v>#REF!</v>
      </c>
      <c r="CY17" t="e">
        <f>AND(#REF!,"AAAAAHr73WY=")</f>
        <v>#REF!</v>
      </c>
      <c r="CZ17" t="e">
        <f>AND(#REF!,"AAAAAHr73Wc=")</f>
        <v>#REF!</v>
      </c>
      <c r="DA17" t="e">
        <f>AND(#REF!,"AAAAAHr73Wg=")</f>
        <v>#REF!</v>
      </c>
      <c r="DB17" t="e">
        <f>AND(#REF!,"AAAAAHr73Wk=")</f>
        <v>#REF!</v>
      </c>
      <c r="DC17" t="e">
        <f>AND(#REF!,"AAAAAHr73Wo=")</f>
        <v>#REF!</v>
      </c>
      <c r="DD17" t="e">
        <f>AND(#REF!,"AAAAAHr73Ws=")</f>
        <v>#REF!</v>
      </c>
      <c r="DE17" t="e">
        <f>AND(#REF!,"AAAAAHr73Ww=")</f>
        <v>#REF!</v>
      </c>
      <c r="DF17" t="e">
        <f>AND(#REF!,"AAAAAHr73W0=")</f>
        <v>#REF!</v>
      </c>
      <c r="DG17" t="e">
        <f>AND(#REF!,"AAAAAHr73W4=")</f>
        <v>#REF!</v>
      </c>
      <c r="DH17" t="e">
        <f>AND(#REF!,"AAAAAHr73W8=")</f>
        <v>#REF!</v>
      </c>
      <c r="DI17" t="e">
        <f>AND(#REF!,"AAAAAHr73XA=")</f>
        <v>#REF!</v>
      </c>
      <c r="DJ17" t="e">
        <f>AND(#REF!,"AAAAAHr73XE=")</f>
        <v>#REF!</v>
      </c>
      <c r="DK17" t="e">
        <f>AND(#REF!,"AAAAAHr73XI=")</f>
        <v>#REF!</v>
      </c>
      <c r="DL17" t="e">
        <f>AND(#REF!,"AAAAAHr73XM=")</f>
        <v>#REF!</v>
      </c>
      <c r="DM17" t="e">
        <f>AND(#REF!,"AAAAAHr73XQ=")</f>
        <v>#REF!</v>
      </c>
      <c r="DN17" t="e">
        <f>AND(#REF!,"AAAAAHr73XU=")</f>
        <v>#REF!</v>
      </c>
      <c r="DO17" t="e">
        <f>AND(#REF!,"AAAAAHr73XY=")</f>
        <v>#REF!</v>
      </c>
      <c r="DP17" t="e">
        <f>AND(#REF!,"AAAAAHr73Xc=")</f>
        <v>#REF!</v>
      </c>
      <c r="DQ17" t="e">
        <f>AND(#REF!,"AAAAAHr73Xg=")</f>
        <v>#REF!</v>
      </c>
      <c r="DR17" t="e">
        <f>AND(#REF!,"AAAAAHr73Xk=")</f>
        <v>#REF!</v>
      </c>
      <c r="DS17" t="e">
        <f>AND(#REF!,"AAAAAHr73Xo=")</f>
        <v>#REF!</v>
      </c>
      <c r="DT17" t="e">
        <f>AND(#REF!,"AAAAAHr73Xs=")</f>
        <v>#REF!</v>
      </c>
      <c r="DU17" t="e">
        <f>AND(#REF!,"AAAAAHr73Xw=")</f>
        <v>#REF!</v>
      </c>
      <c r="DV17" t="e">
        <f>AND(#REF!,"AAAAAHr73X0=")</f>
        <v>#REF!</v>
      </c>
      <c r="DW17" t="e">
        <f>AND(#REF!,"AAAAAHr73X4=")</f>
        <v>#REF!</v>
      </c>
      <c r="DX17" t="e">
        <f>AND(#REF!,"AAAAAHr73X8=")</f>
        <v>#REF!</v>
      </c>
      <c r="DY17" t="e">
        <f>AND(#REF!,"AAAAAHr73YA=")</f>
        <v>#REF!</v>
      </c>
      <c r="DZ17" t="e">
        <f>AND(#REF!,"AAAAAHr73YE=")</f>
        <v>#REF!</v>
      </c>
      <c r="EA17" t="e">
        <f>AND(#REF!,"AAAAAHr73YI=")</f>
        <v>#REF!</v>
      </c>
      <c r="EB17" t="e">
        <f>AND(#REF!,"AAAAAHr73YM=")</f>
        <v>#REF!</v>
      </c>
      <c r="EC17" t="e">
        <f>AND(#REF!,"AAAAAHr73YQ=")</f>
        <v>#REF!</v>
      </c>
      <c r="ED17" t="e">
        <f>AND(#REF!,"AAAAAHr73YU=")</f>
        <v>#REF!</v>
      </c>
      <c r="EE17" t="e">
        <f>AND(#REF!,"AAAAAHr73YY=")</f>
        <v>#REF!</v>
      </c>
      <c r="EF17" t="e">
        <f>AND(#REF!,"AAAAAHr73Yc=")</f>
        <v>#REF!</v>
      </c>
      <c r="EG17" t="e">
        <f>AND(#REF!,"AAAAAHr73Yg=")</f>
        <v>#REF!</v>
      </c>
      <c r="EH17" t="e">
        <f>AND(#REF!,"AAAAAHr73Yk=")</f>
        <v>#REF!</v>
      </c>
      <c r="EI17" t="e">
        <f>AND(#REF!,"AAAAAHr73Yo=")</f>
        <v>#REF!</v>
      </c>
      <c r="EJ17" t="e">
        <f>AND(#REF!,"AAAAAHr73Ys=")</f>
        <v>#REF!</v>
      </c>
      <c r="EK17" t="e">
        <f>AND(#REF!,"AAAAAHr73Yw=")</f>
        <v>#REF!</v>
      </c>
      <c r="EL17" t="e">
        <f>AND(#REF!,"AAAAAHr73Y0=")</f>
        <v>#REF!</v>
      </c>
      <c r="EM17" t="e">
        <f>AND(#REF!,"AAAAAHr73Y4=")</f>
        <v>#REF!</v>
      </c>
      <c r="EN17" t="e">
        <f>AND(#REF!,"AAAAAHr73Y8=")</f>
        <v>#REF!</v>
      </c>
      <c r="EO17" t="e">
        <f>AND(#REF!,"AAAAAHr73ZA=")</f>
        <v>#REF!</v>
      </c>
      <c r="EP17" t="e">
        <f>AND(#REF!,"AAAAAHr73ZE=")</f>
        <v>#REF!</v>
      </c>
      <c r="EQ17" t="e">
        <f>AND(#REF!,"AAAAAHr73ZI=")</f>
        <v>#REF!</v>
      </c>
      <c r="ER17" t="e">
        <f>AND(#REF!,"AAAAAHr73ZM=")</f>
        <v>#REF!</v>
      </c>
      <c r="ES17" t="e">
        <f>AND(#REF!,"AAAAAHr73ZQ=")</f>
        <v>#REF!</v>
      </c>
      <c r="ET17" t="e">
        <f>AND(#REF!,"AAAAAHr73ZU=")</f>
        <v>#REF!</v>
      </c>
      <c r="EU17" t="e">
        <f>AND(#REF!,"AAAAAHr73ZY=")</f>
        <v>#REF!</v>
      </c>
      <c r="EV17" t="e">
        <f>AND(#REF!,"AAAAAHr73Zc=")</f>
        <v>#REF!</v>
      </c>
      <c r="EW17" t="e">
        <f>AND(#REF!,"AAAAAHr73Zg=")</f>
        <v>#REF!</v>
      </c>
      <c r="EX17" t="e">
        <f>AND(#REF!,"AAAAAHr73Zk=")</f>
        <v>#REF!</v>
      </c>
      <c r="EY17" t="e">
        <f>AND(#REF!,"AAAAAHr73Zo=")</f>
        <v>#REF!</v>
      </c>
      <c r="EZ17" t="e">
        <f>AND(#REF!,"AAAAAHr73Zs=")</f>
        <v>#REF!</v>
      </c>
      <c r="FA17" t="e">
        <f>AND(#REF!,"AAAAAHr73Zw=")</f>
        <v>#REF!</v>
      </c>
      <c r="FB17" t="e">
        <f>AND(#REF!,"AAAAAHr73Z0=")</f>
        <v>#REF!</v>
      </c>
      <c r="FC17" t="e">
        <f>AND(#REF!,"AAAAAHr73Z4=")</f>
        <v>#REF!</v>
      </c>
      <c r="FD17" t="e">
        <f>AND(#REF!,"AAAAAHr73Z8=")</f>
        <v>#REF!</v>
      </c>
      <c r="FE17" t="e">
        <f>AND(#REF!,"AAAAAHr73aA=")</f>
        <v>#REF!</v>
      </c>
      <c r="FF17" t="e">
        <f>AND(#REF!,"AAAAAHr73aE=")</f>
        <v>#REF!</v>
      </c>
      <c r="FG17" t="e">
        <f>AND(#REF!,"AAAAAHr73aI=")</f>
        <v>#REF!</v>
      </c>
      <c r="FH17" t="e">
        <f>AND(#REF!,"AAAAAHr73aM=")</f>
        <v>#REF!</v>
      </c>
      <c r="FI17" t="e">
        <f>AND(#REF!,"AAAAAHr73aQ=")</f>
        <v>#REF!</v>
      </c>
      <c r="FJ17" t="e">
        <f>AND(#REF!,"AAAAAHr73aU=")</f>
        <v>#REF!</v>
      </c>
      <c r="FK17" t="e">
        <f>AND(#REF!,"AAAAAHr73aY=")</f>
        <v>#REF!</v>
      </c>
      <c r="FL17" t="e">
        <f>AND(#REF!,"AAAAAHr73ac=")</f>
        <v>#REF!</v>
      </c>
      <c r="FM17" t="e">
        <f>AND(#REF!,"AAAAAHr73ag=")</f>
        <v>#REF!</v>
      </c>
      <c r="FN17" t="e">
        <f>AND(#REF!,"AAAAAHr73ak=")</f>
        <v>#REF!</v>
      </c>
      <c r="FO17" t="e">
        <f>AND(#REF!,"AAAAAHr73ao=")</f>
        <v>#REF!</v>
      </c>
      <c r="FP17" t="e">
        <f>AND(#REF!,"AAAAAHr73as=")</f>
        <v>#REF!</v>
      </c>
      <c r="FQ17" t="e">
        <f>AND(#REF!,"AAAAAHr73aw=")</f>
        <v>#REF!</v>
      </c>
      <c r="FR17" t="e">
        <f>AND(#REF!,"AAAAAHr73a0=")</f>
        <v>#REF!</v>
      </c>
      <c r="FS17" t="e">
        <f>AND(#REF!,"AAAAAHr73a4=")</f>
        <v>#REF!</v>
      </c>
      <c r="FT17" t="e">
        <f>AND(#REF!,"AAAAAHr73a8=")</f>
        <v>#REF!</v>
      </c>
      <c r="FU17" t="e">
        <f>AND(#REF!,"AAAAAHr73bA=")</f>
        <v>#REF!</v>
      </c>
      <c r="FV17" t="e">
        <f>AND(#REF!,"AAAAAHr73bE=")</f>
        <v>#REF!</v>
      </c>
      <c r="FW17" t="e">
        <f>AND(#REF!,"AAAAAHr73bI=")</f>
        <v>#REF!</v>
      </c>
      <c r="FX17" t="e">
        <f>AND(#REF!,"AAAAAHr73bM=")</f>
        <v>#REF!</v>
      </c>
      <c r="FY17" t="e">
        <f>AND(#REF!,"AAAAAHr73bQ=")</f>
        <v>#REF!</v>
      </c>
      <c r="FZ17" t="e">
        <f>AND(#REF!,"AAAAAHr73bU=")</f>
        <v>#REF!</v>
      </c>
      <c r="GA17" t="e">
        <f>AND(#REF!,"AAAAAHr73bY=")</f>
        <v>#REF!</v>
      </c>
      <c r="GB17" t="e">
        <f>AND(#REF!,"AAAAAHr73bc=")</f>
        <v>#REF!</v>
      </c>
      <c r="GC17" t="e">
        <f>AND(#REF!,"AAAAAHr73bg=")</f>
        <v>#REF!</v>
      </c>
      <c r="GD17" t="e">
        <f>AND(#REF!,"AAAAAHr73bk=")</f>
        <v>#REF!</v>
      </c>
      <c r="GE17" t="e">
        <f>AND(#REF!,"AAAAAHr73bo=")</f>
        <v>#REF!</v>
      </c>
      <c r="GF17" t="e">
        <f>AND(#REF!,"AAAAAHr73bs=")</f>
        <v>#REF!</v>
      </c>
      <c r="GG17" t="e">
        <f>AND(#REF!,"AAAAAHr73bw=")</f>
        <v>#REF!</v>
      </c>
      <c r="GH17" t="e">
        <f>AND(#REF!,"AAAAAHr73b0=")</f>
        <v>#REF!</v>
      </c>
      <c r="GI17" t="e">
        <f>AND(#REF!,"AAAAAHr73b4=")</f>
        <v>#REF!</v>
      </c>
      <c r="GJ17" t="e">
        <f>AND(#REF!,"AAAAAHr73b8=")</f>
        <v>#REF!</v>
      </c>
      <c r="GK17" t="e">
        <f>AND(#REF!,"AAAAAHr73cA=")</f>
        <v>#REF!</v>
      </c>
      <c r="GL17" t="e">
        <f>AND(#REF!,"AAAAAHr73cE=")</f>
        <v>#REF!</v>
      </c>
      <c r="GM17" t="e">
        <f>AND(#REF!,"AAAAAHr73cI=")</f>
        <v>#REF!</v>
      </c>
      <c r="GN17" t="e">
        <f>AND(#REF!,"AAAAAHr73cM=")</f>
        <v>#REF!</v>
      </c>
      <c r="GO17" t="e">
        <f>AND(#REF!,"AAAAAHr73cQ=")</f>
        <v>#REF!</v>
      </c>
      <c r="GP17" t="e">
        <f>AND(#REF!,"AAAAAHr73cU=")</f>
        <v>#REF!</v>
      </c>
      <c r="GQ17" t="e">
        <f>AND(#REF!,"AAAAAHr73cY=")</f>
        <v>#REF!</v>
      </c>
      <c r="GR17" t="e">
        <f>AND(#REF!,"AAAAAHr73cc=")</f>
        <v>#REF!</v>
      </c>
      <c r="GS17" t="e">
        <f>AND(#REF!,"AAAAAHr73cg=")</f>
        <v>#REF!</v>
      </c>
      <c r="GT17" t="e">
        <f>AND(#REF!,"AAAAAHr73ck=")</f>
        <v>#REF!</v>
      </c>
      <c r="GU17" t="e">
        <f>AND(#REF!,"AAAAAHr73co=")</f>
        <v>#REF!</v>
      </c>
      <c r="GV17" t="e">
        <f>AND(#REF!,"AAAAAHr73cs=")</f>
        <v>#REF!</v>
      </c>
      <c r="GW17" t="e">
        <f>AND(#REF!,"AAAAAHr73cw=")</f>
        <v>#REF!</v>
      </c>
      <c r="GX17" t="e">
        <f>AND(#REF!,"AAAAAHr73c0=")</f>
        <v>#REF!</v>
      </c>
      <c r="GY17" t="e">
        <f>AND(#REF!,"AAAAAHr73c4=")</f>
        <v>#REF!</v>
      </c>
      <c r="GZ17" t="e">
        <f>AND(#REF!,"AAAAAHr73c8=")</f>
        <v>#REF!</v>
      </c>
      <c r="HA17" t="e">
        <f>AND(#REF!,"AAAAAHr73dA=")</f>
        <v>#REF!</v>
      </c>
      <c r="HB17" t="e">
        <f>AND(#REF!,"AAAAAHr73dE=")</f>
        <v>#REF!</v>
      </c>
      <c r="HC17" t="e">
        <f>AND(#REF!,"AAAAAHr73dI=")</f>
        <v>#REF!</v>
      </c>
      <c r="HD17" t="e">
        <f>AND(#REF!,"AAAAAHr73dM=")</f>
        <v>#REF!</v>
      </c>
      <c r="HE17" t="e">
        <f>AND(#REF!,"AAAAAHr73dQ=")</f>
        <v>#REF!</v>
      </c>
      <c r="HF17" t="e">
        <f>AND(#REF!,"AAAAAHr73dU=")</f>
        <v>#REF!</v>
      </c>
      <c r="HG17" t="e">
        <f>AND(#REF!,"AAAAAHr73dY=")</f>
        <v>#REF!</v>
      </c>
      <c r="HH17" t="e">
        <f>AND(#REF!,"AAAAAHr73dc=")</f>
        <v>#REF!</v>
      </c>
      <c r="HI17" t="e">
        <f>AND(#REF!,"AAAAAHr73dg=")</f>
        <v>#REF!</v>
      </c>
      <c r="HJ17" t="e">
        <f>AND(#REF!,"AAAAAHr73dk=")</f>
        <v>#REF!</v>
      </c>
      <c r="HK17" t="e">
        <f>AND(#REF!,"AAAAAHr73do=")</f>
        <v>#REF!</v>
      </c>
      <c r="HL17" t="e">
        <f>AND(#REF!,"AAAAAHr73ds=")</f>
        <v>#REF!</v>
      </c>
      <c r="HM17" t="e">
        <f>AND(#REF!,"AAAAAHr73dw=")</f>
        <v>#REF!</v>
      </c>
      <c r="HN17" t="e">
        <f>AND(#REF!,"AAAAAHr73d0=")</f>
        <v>#REF!</v>
      </c>
      <c r="HO17" t="e">
        <f>AND(#REF!,"AAAAAHr73d4=")</f>
        <v>#REF!</v>
      </c>
      <c r="HP17" t="e">
        <f>AND(#REF!,"AAAAAHr73d8=")</f>
        <v>#REF!</v>
      </c>
      <c r="HQ17" t="e">
        <f>AND(#REF!,"AAAAAHr73eA=")</f>
        <v>#REF!</v>
      </c>
      <c r="HR17" t="e">
        <f>AND(#REF!,"AAAAAHr73eE=")</f>
        <v>#REF!</v>
      </c>
      <c r="HS17" t="e">
        <f>AND(#REF!,"AAAAAHr73eI=")</f>
        <v>#REF!</v>
      </c>
      <c r="HT17" t="e">
        <f>AND(#REF!,"AAAAAHr73eM=")</f>
        <v>#REF!</v>
      </c>
      <c r="HU17" t="e">
        <f>AND(#REF!,"AAAAAHr73eQ=")</f>
        <v>#REF!</v>
      </c>
      <c r="HV17" t="e">
        <f>AND(#REF!,"AAAAAHr73eU=")</f>
        <v>#REF!</v>
      </c>
      <c r="HW17" t="e">
        <f>AND(#REF!,"AAAAAHr73eY=")</f>
        <v>#REF!</v>
      </c>
      <c r="HX17" t="e">
        <f>AND(#REF!,"AAAAAHr73ec=")</f>
        <v>#REF!</v>
      </c>
      <c r="HY17" t="e">
        <f>AND(#REF!,"AAAAAHr73eg=")</f>
        <v>#REF!</v>
      </c>
      <c r="HZ17" t="e">
        <f>AND(#REF!,"AAAAAHr73ek=")</f>
        <v>#REF!</v>
      </c>
      <c r="IA17" t="e">
        <f>AND(#REF!,"AAAAAHr73eo=")</f>
        <v>#REF!</v>
      </c>
      <c r="IB17" t="e">
        <f>AND(#REF!,"AAAAAHr73es=")</f>
        <v>#REF!</v>
      </c>
      <c r="IC17" t="e">
        <f>AND(#REF!,"AAAAAHr73ew=")</f>
        <v>#REF!</v>
      </c>
      <c r="ID17" t="e">
        <f>AND(#REF!,"AAAAAHr73e0=")</f>
        <v>#REF!</v>
      </c>
      <c r="IE17" t="e">
        <f>AND(#REF!,"AAAAAHr73e4=")</f>
        <v>#REF!</v>
      </c>
      <c r="IF17" t="e">
        <f>AND(#REF!,"AAAAAHr73e8=")</f>
        <v>#REF!</v>
      </c>
      <c r="IG17" t="e">
        <f>AND(#REF!,"AAAAAHr73fA=")</f>
        <v>#REF!</v>
      </c>
      <c r="IH17" t="e">
        <f>AND(#REF!,"AAAAAHr73fE=")</f>
        <v>#REF!</v>
      </c>
      <c r="II17" t="e">
        <f>AND(#REF!,"AAAAAHr73fI=")</f>
        <v>#REF!</v>
      </c>
      <c r="IJ17" t="e">
        <f>AND(#REF!,"AAAAAHr73fM=")</f>
        <v>#REF!</v>
      </c>
      <c r="IK17" t="e">
        <f>AND(#REF!,"AAAAAHr73fQ=")</f>
        <v>#REF!</v>
      </c>
      <c r="IL17" t="e">
        <f>AND(#REF!,"AAAAAHr73fU=")</f>
        <v>#REF!</v>
      </c>
      <c r="IM17" t="e">
        <f>AND(#REF!,"AAAAAHr73fY=")</f>
        <v>#REF!</v>
      </c>
      <c r="IN17" t="e">
        <f>AND(#REF!,"AAAAAHr73fc=")</f>
        <v>#REF!</v>
      </c>
      <c r="IO17" t="e">
        <f>AND(#REF!,"AAAAAHr73fg=")</f>
        <v>#REF!</v>
      </c>
      <c r="IP17" t="e">
        <f>AND(#REF!,"AAAAAHr73fk=")</f>
        <v>#REF!</v>
      </c>
      <c r="IQ17" t="e">
        <f>AND(#REF!,"AAAAAHr73fo=")</f>
        <v>#REF!</v>
      </c>
      <c r="IR17" t="e">
        <f>AND(#REF!,"AAAAAHr73fs=")</f>
        <v>#REF!</v>
      </c>
      <c r="IS17" t="e">
        <f>AND(#REF!,"AAAAAHr73fw=")</f>
        <v>#REF!</v>
      </c>
      <c r="IT17" t="e">
        <f>AND(#REF!,"AAAAAHr73f0=")</f>
        <v>#REF!</v>
      </c>
      <c r="IU17" t="e">
        <f>AND(#REF!,"AAAAAHr73f4=")</f>
        <v>#REF!</v>
      </c>
      <c r="IV17" t="e">
        <f>AND(#REF!,"AAAAAHr73f8=")</f>
        <v>#REF!</v>
      </c>
    </row>
    <row r="18" spans="1:256" x14ac:dyDescent="0.25">
      <c r="A18" t="e">
        <f>AND(#REF!,"AAAAAG+T/gA=")</f>
        <v>#REF!</v>
      </c>
      <c r="B18" t="e">
        <f>AND(#REF!,"AAAAAG+T/gE=")</f>
        <v>#REF!</v>
      </c>
      <c r="C18" t="e">
        <f>AND(#REF!,"AAAAAG+T/gI=")</f>
        <v>#REF!</v>
      </c>
      <c r="D18" t="e">
        <f>AND(#REF!,"AAAAAG+T/gM=")</f>
        <v>#REF!</v>
      </c>
      <c r="E18" t="e">
        <f>AND(#REF!,"AAAAAG+T/gQ=")</f>
        <v>#REF!</v>
      </c>
      <c r="F18" t="e">
        <f>AND(#REF!,"AAAAAG+T/gU=")</f>
        <v>#REF!</v>
      </c>
      <c r="G18" t="e">
        <f>AND(#REF!,"AAAAAG+T/gY=")</f>
        <v>#REF!</v>
      </c>
      <c r="H18" t="e">
        <f>AND(#REF!,"AAAAAG+T/gc=")</f>
        <v>#REF!</v>
      </c>
      <c r="I18" t="e">
        <f>AND(#REF!,"AAAAAG+T/gg=")</f>
        <v>#REF!</v>
      </c>
      <c r="J18" t="e">
        <f>AND(#REF!,"AAAAAG+T/gk=")</f>
        <v>#REF!</v>
      </c>
      <c r="K18" t="e">
        <f>IF(#REF!,"AAAAAG+T/go=",0)</f>
        <v>#REF!</v>
      </c>
      <c r="L18" t="e">
        <f>AND(#REF!,"AAAAAG+T/gs=")</f>
        <v>#REF!</v>
      </c>
      <c r="M18" t="e">
        <f>AND(#REF!,"AAAAAG+T/gw=")</f>
        <v>#REF!</v>
      </c>
      <c r="N18" t="e">
        <f>AND(#REF!,"AAAAAG+T/g0=")</f>
        <v>#REF!</v>
      </c>
      <c r="O18" t="e">
        <f>AND(#REF!,"AAAAAG+T/g4=")</f>
        <v>#REF!</v>
      </c>
      <c r="P18" t="e">
        <f>AND(#REF!,"AAAAAG+T/g8=")</f>
        <v>#REF!</v>
      </c>
      <c r="Q18" t="e">
        <f>AND(#REF!,"AAAAAG+T/hA=")</f>
        <v>#REF!</v>
      </c>
      <c r="R18" t="e">
        <f>AND(#REF!,"AAAAAG+T/hE=")</f>
        <v>#REF!</v>
      </c>
      <c r="S18" t="e">
        <f>AND(#REF!,"AAAAAG+T/hI=")</f>
        <v>#REF!</v>
      </c>
      <c r="T18" t="e">
        <f>AND(#REF!,"AAAAAG+T/hM=")</f>
        <v>#REF!</v>
      </c>
      <c r="U18" t="e">
        <f>AND(#REF!,"AAAAAG+T/hQ=")</f>
        <v>#REF!</v>
      </c>
      <c r="V18" t="e">
        <f>AND(#REF!,"AAAAAG+T/hU=")</f>
        <v>#REF!</v>
      </c>
      <c r="W18" t="e">
        <f>AND(#REF!,"AAAAAG+T/hY=")</f>
        <v>#REF!</v>
      </c>
      <c r="X18" t="e">
        <f>AND(#REF!,"AAAAAG+T/hc=")</f>
        <v>#REF!</v>
      </c>
      <c r="Y18" t="e">
        <f>AND(#REF!,"AAAAAG+T/hg=")</f>
        <v>#REF!</v>
      </c>
      <c r="Z18" t="e">
        <f>AND(#REF!,"AAAAAG+T/hk=")</f>
        <v>#REF!</v>
      </c>
      <c r="AA18" t="e">
        <f>AND(#REF!,"AAAAAG+T/ho=")</f>
        <v>#REF!</v>
      </c>
      <c r="AB18" t="e">
        <f>AND(#REF!,"AAAAAG+T/hs=")</f>
        <v>#REF!</v>
      </c>
      <c r="AC18" t="e">
        <f>AND(#REF!,"AAAAAG+T/hw=")</f>
        <v>#REF!</v>
      </c>
      <c r="AD18" t="e">
        <f>AND(#REF!,"AAAAAG+T/h0=")</f>
        <v>#REF!</v>
      </c>
      <c r="AE18" t="e">
        <f>AND(#REF!,"AAAAAG+T/h4=")</f>
        <v>#REF!</v>
      </c>
      <c r="AF18" t="e">
        <f>AND(#REF!,"AAAAAG+T/h8=")</f>
        <v>#REF!</v>
      </c>
      <c r="AG18" t="e">
        <f>AND(#REF!,"AAAAAG+T/iA=")</f>
        <v>#REF!</v>
      </c>
      <c r="AH18" t="e">
        <f>AND(#REF!,"AAAAAG+T/iE=")</f>
        <v>#REF!</v>
      </c>
      <c r="AI18" t="e">
        <f>AND(#REF!,"AAAAAG+T/iI=")</f>
        <v>#REF!</v>
      </c>
      <c r="AJ18" t="e">
        <f>AND(#REF!,"AAAAAG+T/iM=")</f>
        <v>#REF!</v>
      </c>
      <c r="AK18" t="e">
        <f>AND(#REF!,"AAAAAG+T/iQ=")</f>
        <v>#REF!</v>
      </c>
      <c r="AL18" t="e">
        <f>AND(#REF!,"AAAAAG+T/iU=")</f>
        <v>#REF!</v>
      </c>
      <c r="AM18" t="e">
        <f>AND(#REF!,"AAAAAG+T/iY=")</f>
        <v>#REF!</v>
      </c>
      <c r="AN18" t="e">
        <f>AND(#REF!,"AAAAAG+T/ic=")</f>
        <v>#REF!</v>
      </c>
      <c r="AO18" t="e">
        <f>AND(#REF!,"AAAAAG+T/ig=")</f>
        <v>#REF!</v>
      </c>
      <c r="AP18" t="e">
        <f>AND(#REF!,"AAAAAG+T/ik=")</f>
        <v>#REF!</v>
      </c>
      <c r="AQ18" t="e">
        <f>AND(#REF!,"AAAAAG+T/io=")</f>
        <v>#REF!</v>
      </c>
      <c r="AR18" t="e">
        <f>AND(#REF!,"AAAAAG+T/is=")</f>
        <v>#REF!</v>
      </c>
      <c r="AS18" t="e">
        <f>AND(#REF!,"AAAAAG+T/iw=")</f>
        <v>#REF!</v>
      </c>
      <c r="AT18" t="e">
        <f>AND(#REF!,"AAAAAG+T/i0=")</f>
        <v>#REF!</v>
      </c>
      <c r="AU18" t="e">
        <f>AND(#REF!,"AAAAAG+T/i4=")</f>
        <v>#REF!</v>
      </c>
      <c r="AV18" t="e">
        <f>AND(#REF!,"AAAAAG+T/i8=")</f>
        <v>#REF!</v>
      </c>
      <c r="AW18" t="e">
        <f>AND(#REF!,"AAAAAG+T/jA=")</f>
        <v>#REF!</v>
      </c>
      <c r="AX18" t="e">
        <f>AND(#REF!,"AAAAAG+T/jE=")</f>
        <v>#REF!</v>
      </c>
      <c r="AY18" t="e">
        <f>AND(#REF!,"AAAAAG+T/jI=")</f>
        <v>#REF!</v>
      </c>
      <c r="AZ18" t="e">
        <f>AND(#REF!,"AAAAAG+T/jM=")</f>
        <v>#REF!</v>
      </c>
      <c r="BA18" t="e">
        <f>AND(#REF!,"AAAAAG+T/jQ=")</f>
        <v>#REF!</v>
      </c>
      <c r="BB18" t="e">
        <f>AND(#REF!,"AAAAAG+T/jU=")</f>
        <v>#REF!</v>
      </c>
      <c r="BC18" t="e">
        <f>AND(#REF!,"AAAAAG+T/jY=")</f>
        <v>#REF!</v>
      </c>
      <c r="BD18" t="e">
        <f>AND(#REF!,"AAAAAG+T/jc=")</f>
        <v>#REF!</v>
      </c>
      <c r="BE18" t="e">
        <f>AND(#REF!,"AAAAAG+T/jg=")</f>
        <v>#REF!</v>
      </c>
      <c r="BF18" t="e">
        <f>AND(#REF!,"AAAAAG+T/jk=")</f>
        <v>#REF!</v>
      </c>
      <c r="BG18" t="e">
        <f>AND(#REF!,"AAAAAG+T/jo=")</f>
        <v>#REF!</v>
      </c>
      <c r="BH18" t="e">
        <f>AND(#REF!,"AAAAAG+T/js=")</f>
        <v>#REF!</v>
      </c>
      <c r="BI18" t="e">
        <f>AND(#REF!,"AAAAAG+T/jw=")</f>
        <v>#REF!</v>
      </c>
      <c r="BJ18" t="e">
        <f>AND(#REF!,"AAAAAG+T/j0=")</f>
        <v>#REF!</v>
      </c>
      <c r="BK18" t="e">
        <f>AND(#REF!,"AAAAAG+T/j4=")</f>
        <v>#REF!</v>
      </c>
      <c r="BL18" t="e">
        <f>AND(#REF!,"AAAAAG+T/j8=")</f>
        <v>#REF!</v>
      </c>
      <c r="BM18" t="e">
        <f>AND(#REF!,"AAAAAG+T/kA=")</f>
        <v>#REF!</v>
      </c>
      <c r="BN18" t="e">
        <f>AND(#REF!,"AAAAAG+T/kE=")</f>
        <v>#REF!</v>
      </c>
      <c r="BO18" t="e">
        <f>AND(#REF!,"AAAAAG+T/kI=")</f>
        <v>#REF!</v>
      </c>
      <c r="BP18" t="e">
        <f>AND(#REF!,"AAAAAG+T/kM=")</f>
        <v>#REF!</v>
      </c>
      <c r="BQ18" t="e">
        <f>AND(#REF!,"AAAAAG+T/kQ=")</f>
        <v>#REF!</v>
      </c>
      <c r="BR18" t="e">
        <f>AND(#REF!,"AAAAAG+T/kU=")</f>
        <v>#REF!</v>
      </c>
      <c r="BS18" t="e">
        <f>AND(#REF!,"AAAAAG+T/kY=")</f>
        <v>#REF!</v>
      </c>
      <c r="BT18" t="e">
        <f>AND(#REF!,"AAAAAG+T/kc=")</f>
        <v>#REF!</v>
      </c>
      <c r="BU18" t="e">
        <f>AND(#REF!,"AAAAAG+T/kg=")</f>
        <v>#REF!</v>
      </c>
      <c r="BV18" t="e">
        <f>AND(#REF!,"AAAAAG+T/kk=")</f>
        <v>#REF!</v>
      </c>
      <c r="BW18" t="e">
        <f>AND(#REF!,"AAAAAG+T/ko=")</f>
        <v>#REF!</v>
      </c>
      <c r="BX18" t="e">
        <f>AND(#REF!,"AAAAAG+T/ks=")</f>
        <v>#REF!</v>
      </c>
      <c r="BY18" t="e">
        <f>AND(#REF!,"AAAAAG+T/kw=")</f>
        <v>#REF!</v>
      </c>
      <c r="BZ18" t="e">
        <f>AND(#REF!,"AAAAAG+T/k0=")</f>
        <v>#REF!</v>
      </c>
      <c r="CA18" t="e">
        <f>AND(#REF!,"AAAAAG+T/k4=")</f>
        <v>#REF!</v>
      </c>
      <c r="CB18" t="e">
        <f>AND(#REF!,"AAAAAG+T/k8=")</f>
        <v>#REF!</v>
      </c>
      <c r="CC18" t="e">
        <f>AND(#REF!,"AAAAAG+T/lA=")</f>
        <v>#REF!</v>
      </c>
      <c r="CD18" t="e">
        <f>AND(#REF!,"AAAAAG+T/lE=")</f>
        <v>#REF!</v>
      </c>
      <c r="CE18" t="e">
        <f>AND(#REF!,"AAAAAG+T/lI=")</f>
        <v>#REF!</v>
      </c>
      <c r="CF18" t="e">
        <f>AND(#REF!,"AAAAAG+T/lM=")</f>
        <v>#REF!</v>
      </c>
      <c r="CG18" t="e">
        <f>AND(#REF!,"AAAAAG+T/lQ=")</f>
        <v>#REF!</v>
      </c>
      <c r="CH18" t="e">
        <f>AND(#REF!,"AAAAAG+T/lU=")</f>
        <v>#REF!</v>
      </c>
      <c r="CI18" t="e">
        <f>AND(#REF!,"AAAAAG+T/lY=")</f>
        <v>#REF!</v>
      </c>
      <c r="CJ18" t="e">
        <f>AND(#REF!,"AAAAAG+T/lc=")</f>
        <v>#REF!</v>
      </c>
      <c r="CK18" t="e">
        <f>AND(#REF!,"AAAAAG+T/lg=")</f>
        <v>#REF!</v>
      </c>
      <c r="CL18" t="e">
        <f>AND(#REF!,"AAAAAG+T/lk=")</f>
        <v>#REF!</v>
      </c>
      <c r="CM18" t="e">
        <f>AND(#REF!,"AAAAAG+T/lo=")</f>
        <v>#REF!</v>
      </c>
      <c r="CN18" t="e">
        <f>AND(#REF!,"AAAAAG+T/ls=")</f>
        <v>#REF!</v>
      </c>
      <c r="CO18" t="e">
        <f>AND(#REF!,"AAAAAG+T/lw=")</f>
        <v>#REF!</v>
      </c>
      <c r="CP18" t="e">
        <f>AND(#REF!,"AAAAAG+T/l0=")</f>
        <v>#REF!</v>
      </c>
      <c r="CQ18" t="e">
        <f>AND(#REF!,"AAAAAG+T/l4=")</f>
        <v>#REF!</v>
      </c>
      <c r="CR18" t="e">
        <f>AND(#REF!,"AAAAAG+T/l8=")</f>
        <v>#REF!</v>
      </c>
      <c r="CS18" t="e">
        <f>AND(#REF!,"AAAAAG+T/mA=")</f>
        <v>#REF!</v>
      </c>
      <c r="CT18" t="e">
        <f>AND(#REF!,"AAAAAG+T/mE=")</f>
        <v>#REF!</v>
      </c>
      <c r="CU18" t="e">
        <f>AND(#REF!,"AAAAAG+T/mI=")</f>
        <v>#REF!</v>
      </c>
      <c r="CV18" t="e">
        <f>AND(#REF!,"AAAAAG+T/mM=")</f>
        <v>#REF!</v>
      </c>
      <c r="CW18" t="e">
        <f>AND(#REF!,"AAAAAG+T/mQ=")</f>
        <v>#REF!</v>
      </c>
      <c r="CX18" t="e">
        <f>AND(#REF!,"AAAAAG+T/mU=")</f>
        <v>#REF!</v>
      </c>
      <c r="CY18" t="e">
        <f>AND(#REF!,"AAAAAG+T/mY=")</f>
        <v>#REF!</v>
      </c>
      <c r="CZ18" t="e">
        <f>AND(#REF!,"AAAAAG+T/mc=")</f>
        <v>#REF!</v>
      </c>
      <c r="DA18" t="e">
        <f>AND(#REF!,"AAAAAG+T/mg=")</f>
        <v>#REF!</v>
      </c>
      <c r="DB18" t="e">
        <f>AND(#REF!,"AAAAAG+T/mk=")</f>
        <v>#REF!</v>
      </c>
      <c r="DC18" t="e">
        <f>AND(#REF!,"AAAAAG+T/mo=")</f>
        <v>#REF!</v>
      </c>
      <c r="DD18" t="e">
        <f>AND(#REF!,"AAAAAG+T/ms=")</f>
        <v>#REF!</v>
      </c>
      <c r="DE18" t="e">
        <f>AND(#REF!,"AAAAAG+T/mw=")</f>
        <v>#REF!</v>
      </c>
      <c r="DF18" t="e">
        <f>AND(#REF!,"AAAAAG+T/m0=")</f>
        <v>#REF!</v>
      </c>
      <c r="DG18" t="e">
        <f>AND(#REF!,"AAAAAG+T/m4=")</f>
        <v>#REF!</v>
      </c>
      <c r="DH18" t="e">
        <f>AND(#REF!,"AAAAAG+T/m8=")</f>
        <v>#REF!</v>
      </c>
      <c r="DI18" t="e">
        <f>AND(#REF!,"AAAAAG+T/nA=")</f>
        <v>#REF!</v>
      </c>
      <c r="DJ18" t="e">
        <f>AND(#REF!,"AAAAAG+T/nE=")</f>
        <v>#REF!</v>
      </c>
      <c r="DK18" t="e">
        <f>AND(#REF!,"AAAAAG+T/nI=")</f>
        <v>#REF!</v>
      </c>
      <c r="DL18" t="e">
        <f>AND(#REF!,"AAAAAG+T/nM=")</f>
        <v>#REF!</v>
      </c>
      <c r="DM18" t="e">
        <f>AND(#REF!,"AAAAAG+T/nQ=")</f>
        <v>#REF!</v>
      </c>
      <c r="DN18" t="e">
        <f>AND(#REF!,"AAAAAG+T/nU=")</f>
        <v>#REF!</v>
      </c>
      <c r="DO18" t="e">
        <f>AND(#REF!,"AAAAAG+T/nY=")</f>
        <v>#REF!</v>
      </c>
      <c r="DP18" t="e">
        <f>AND(#REF!,"AAAAAG+T/nc=")</f>
        <v>#REF!</v>
      </c>
      <c r="DQ18" t="e">
        <f>AND(#REF!,"AAAAAG+T/ng=")</f>
        <v>#REF!</v>
      </c>
      <c r="DR18" t="e">
        <f>AND(#REF!,"AAAAAG+T/nk=")</f>
        <v>#REF!</v>
      </c>
      <c r="DS18" t="e">
        <f>AND(#REF!,"AAAAAG+T/no=")</f>
        <v>#REF!</v>
      </c>
      <c r="DT18" t="e">
        <f>AND(#REF!,"AAAAAG+T/ns=")</f>
        <v>#REF!</v>
      </c>
      <c r="DU18" t="e">
        <f>AND(#REF!,"AAAAAG+T/nw=")</f>
        <v>#REF!</v>
      </c>
      <c r="DV18" t="e">
        <f>AND(#REF!,"AAAAAG+T/n0=")</f>
        <v>#REF!</v>
      </c>
      <c r="DW18" t="e">
        <f>AND(#REF!,"AAAAAG+T/n4=")</f>
        <v>#REF!</v>
      </c>
      <c r="DX18" t="e">
        <f>AND(#REF!,"AAAAAG+T/n8=")</f>
        <v>#REF!</v>
      </c>
      <c r="DY18" t="e">
        <f>AND(#REF!,"AAAAAG+T/oA=")</f>
        <v>#REF!</v>
      </c>
      <c r="DZ18" t="e">
        <f>AND(#REF!,"AAAAAG+T/oE=")</f>
        <v>#REF!</v>
      </c>
      <c r="EA18" t="e">
        <f>AND(#REF!,"AAAAAG+T/oI=")</f>
        <v>#REF!</v>
      </c>
      <c r="EB18" t="e">
        <f>AND(#REF!,"AAAAAG+T/oM=")</f>
        <v>#REF!</v>
      </c>
      <c r="EC18" t="e">
        <f>AND(#REF!,"AAAAAG+T/oQ=")</f>
        <v>#REF!</v>
      </c>
      <c r="ED18" t="e">
        <f>AND(#REF!,"AAAAAG+T/oU=")</f>
        <v>#REF!</v>
      </c>
      <c r="EE18" t="e">
        <f>AND(#REF!,"AAAAAG+T/oY=")</f>
        <v>#REF!</v>
      </c>
      <c r="EF18" t="e">
        <f>AND(#REF!,"AAAAAG+T/oc=")</f>
        <v>#REF!</v>
      </c>
      <c r="EG18" t="e">
        <f>AND(#REF!,"AAAAAG+T/og=")</f>
        <v>#REF!</v>
      </c>
      <c r="EH18" t="e">
        <f>AND(#REF!,"AAAAAG+T/ok=")</f>
        <v>#REF!</v>
      </c>
      <c r="EI18" t="e">
        <f>AND(#REF!,"AAAAAG+T/oo=")</f>
        <v>#REF!</v>
      </c>
      <c r="EJ18" t="e">
        <f>AND(#REF!,"AAAAAG+T/os=")</f>
        <v>#REF!</v>
      </c>
      <c r="EK18" t="e">
        <f>AND(#REF!,"AAAAAG+T/ow=")</f>
        <v>#REF!</v>
      </c>
      <c r="EL18" t="e">
        <f>AND(#REF!,"AAAAAG+T/o0=")</f>
        <v>#REF!</v>
      </c>
      <c r="EM18" t="e">
        <f>AND(#REF!,"AAAAAG+T/o4=")</f>
        <v>#REF!</v>
      </c>
      <c r="EN18" t="e">
        <f>AND(#REF!,"AAAAAG+T/o8=")</f>
        <v>#REF!</v>
      </c>
      <c r="EO18" t="e">
        <f>AND(#REF!,"AAAAAG+T/pA=")</f>
        <v>#REF!</v>
      </c>
      <c r="EP18" t="e">
        <f>AND(#REF!,"AAAAAG+T/pE=")</f>
        <v>#REF!</v>
      </c>
      <c r="EQ18" t="e">
        <f>AND(#REF!,"AAAAAG+T/pI=")</f>
        <v>#REF!</v>
      </c>
      <c r="ER18" t="e">
        <f>AND(#REF!,"AAAAAG+T/pM=")</f>
        <v>#REF!</v>
      </c>
      <c r="ES18" t="e">
        <f>AND(#REF!,"AAAAAG+T/pQ=")</f>
        <v>#REF!</v>
      </c>
      <c r="ET18" t="e">
        <f>AND(#REF!,"AAAAAG+T/pU=")</f>
        <v>#REF!</v>
      </c>
      <c r="EU18" t="e">
        <f>AND(#REF!,"AAAAAG+T/pY=")</f>
        <v>#REF!</v>
      </c>
      <c r="EV18" t="e">
        <f>AND(#REF!,"AAAAAG+T/pc=")</f>
        <v>#REF!</v>
      </c>
      <c r="EW18" t="e">
        <f>AND(#REF!,"AAAAAG+T/pg=")</f>
        <v>#REF!</v>
      </c>
      <c r="EX18" t="e">
        <f>AND(#REF!,"AAAAAG+T/pk=")</f>
        <v>#REF!</v>
      </c>
      <c r="EY18" t="e">
        <f>AND(#REF!,"AAAAAG+T/po=")</f>
        <v>#REF!</v>
      </c>
      <c r="EZ18" t="e">
        <f>AND(#REF!,"AAAAAG+T/ps=")</f>
        <v>#REF!</v>
      </c>
      <c r="FA18" t="e">
        <f>AND(#REF!,"AAAAAG+T/pw=")</f>
        <v>#REF!</v>
      </c>
      <c r="FB18" t="e">
        <f>AND(#REF!,"AAAAAG+T/p0=")</f>
        <v>#REF!</v>
      </c>
      <c r="FC18" t="e">
        <f>AND(#REF!,"AAAAAG+T/p4=")</f>
        <v>#REF!</v>
      </c>
      <c r="FD18" t="e">
        <f>AND(#REF!,"AAAAAG+T/p8=")</f>
        <v>#REF!</v>
      </c>
      <c r="FE18" t="e">
        <f>AND(#REF!,"AAAAAG+T/qA=")</f>
        <v>#REF!</v>
      </c>
      <c r="FF18" t="e">
        <f>AND(#REF!,"AAAAAG+T/qE=")</f>
        <v>#REF!</v>
      </c>
      <c r="FG18" t="e">
        <f>AND(#REF!,"AAAAAG+T/qI=")</f>
        <v>#REF!</v>
      </c>
      <c r="FH18" t="e">
        <f>AND(#REF!,"AAAAAG+T/qM=")</f>
        <v>#REF!</v>
      </c>
      <c r="FI18" t="e">
        <f>AND(#REF!,"AAAAAG+T/qQ=")</f>
        <v>#REF!</v>
      </c>
      <c r="FJ18" t="e">
        <f>AND(#REF!,"AAAAAG+T/qU=")</f>
        <v>#REF!</v>
      </c>
      <c r="FK18" t="e">
        <f>AND(#REF!,"AAAAAG+T/qY=")</f>
        <v>#REF!</v>
      </c>
      <c r="FL18" t="e">
        <f>AND(#REF!,"AAAAAG+T/qc=")</f>
        <v>#REF!</v>
      </c>
      <c r="FM18" t="e">
        <f>AND(#REF!,"AAAAAG+T/qg=")</f>
        <v>#REF!</v>
      </c>
      <c r="FN18" t="e">
        <f>AND(#REF!,"AAAAAG+T/qk=")</f>
        <v>#REF!</v>
      </c>
      <c r="FO18" t="e">
        <f>AND(#REF!,"AAAAAG+T/qo=")</f>
        <v>#REF!</v>
      </c>
      <c r="FP18" t="e">
        <f>AND(#REF!,"AAAAAG+T/qs=")</f>
        <v>#REF!</v>
      </c>
      <c r="FQ18" t="e">
        <f>AND(#REF!,"AAAAAG+T/qw=")</f>
        <v>#REF!</v>
      </c>
      <c r="FR18" t="e">
        <f>AND(#REF!,"AAAAAG+T/q0=")</f>
        <v>#REF!</v>
      </c>
      <c r="FS18" t="e">
        <f>AND(#REF!,"AAAAAG+T/q4=")</f>
        <v>#REF!</v>
      </c>
      <c r="FT18" t="e">
        <f>AND(#REF!,"AAAAAG+T/q8=")</f>
        <v>#REF!</v>
      </c>
      <c r="FU18" t="e">
        <f>AND(#REF!,"AAAAAG+T/rA=")</f>
        <v>#REF!</v>
      </c>
      <c r="FV18" t="e">
        <f>AND(#REF!,"AAAAAG+T/rE=")</f>
        <v>#REF!</v>
      </c>
      <c r="FW18" t="e">
        <f>AND(#REF!,"AAAAAG+T/rI=")</f>
        <v>#REF!</v>
      </c>
      <c r="FX18" t="e">
        <f>AND(#REF!,"AAAAAG+T/rM=")</f>
        <v>#REF!</v>
      </c>
      <c r="FY18" t="e">
        <f>AND(#REF!,"AAAAAG+T/rQ=")</f>
        <v>#REF!</v>
      </c>
      <c r="FZ18" t="e">
        <f>AND(#REF!,"AAAAAG+T/rU=")</f>
        <v>#REF!</v>
      </c>
      <c r="GA18" t="e">
        <f>AND(#REF!,"AAAAAG+T/rY=")</f>
        <v>#REF!</v>
      </c>
      <c r="GB18" t="e">
        <f>AND(#REF!,"AAAAAG+T/rc=")</f>
        <v>#REF!</v>
      </c>
      <c r="GC18" t="e">
        <f>AND(#REF!,"AAAAAG+T/rg=")</f>
        <v>#REF!</v>
      </c>
      <c r="GD18" t="e">
        <f>AND(#REF!,"AAAAAG+T/rk=")</f>
        <v>#REF!</v>
      </c>
      <c r="GE18" t="e">
        <f>AND(#REF!,"AAAAAG+T/ro=")</f>
        <v>#REF!</v>
      </c>
      <c r="GF18" t="e">
        <f>AND(#REF!,"AAAAAG+T/rs=")</f>
        <v>#REF!</v>
      </c>
      <c r="GG18" t="e">
        <f>AND(#REF!,"AAAAAG+T/rw=")</f>
        <v>#REF!</v>
      </c>
      <c r="GH18" t="e">
        <f>AND(#REF!,"AAAAAG+T/r0=")</f>
        <v>#REF!</v>
      </c>
      <c r="GI18" t="e">
        <f>AND(#REF!,"AAAAAG+T/r4=")</f>
        <v>#REF!</v>
      </c>
      <c r="GJ18" t="e">
        <f>AND(#REF!,"AAAAAG+T/r8=")</f>
        <v>#REF!</v>
      </c>
      <c r="GK18" t="e">
        <f>AND(#REF!,"AAAAAG+T/sA=")</f>
        <v>#REF!</v>
      </c>
      <c r="GL18" t="e">
        <f>AND(#REF!,"AAAAAG+T/sE=")</f>
        <v>#REF!</v>
      </c>
      <c r="GM18" t="e">
        <f>AND(#REF!,"AAAAAG+T/sI=")</f>
        <v>#REF!</v>
      </c>
      <c r="GN18" t="e">
        <f>AND(#REF!,"AAAAAG+T/sM=")</f>
        <v>#REF!</v>
      </c>
      <c r="GO18" t="e">
        <f>AND(#REF!,"AAAAAG+T/sQ=")</f>
        <v>#REF!</v>
      </c>
      <c r="GP18" t="e">
        <f>AND(#REF!,"AAAAAG+T/sU=")</f>
        <v>#REF!</v>
      </c>
      <c r="GQ18" t="e">
        <f>AND(#REF!,"AAAAAG+T/sY=")</f>
        <v>#REF!</v>
      </c>
      <c r="GR18" t="e">
        <f>AND(#REF!,"AAAAAG+T/sc=")</f>
        <v>#REF!</v>
      </c>
      <c r="GS18" t="e">
        <f>AND(#REF!,"AAAAAG+T/sg=")</f>
        <v>#REF!</v>
      </c>
      <c r="GT18" t="e">
        <f>AND(#REF!,"AAAAAG+T/sk=")</f>
        <v>#REF!</v>
      </c>
      <c r="GU18" t="e">
        <f>AND(#REF!,"AAAAAG+T/so=")</f>
        <v>#REF!</v>
      </c>
      <c r="GV18" t="e">
        <f>AND(#REF!,"AAAAAG+T/ss=")</f>
        <v>#REF!</v>
      </c>
      <c r="GW18" t="e">
        <f>AND(#REF!,"AAAAAG+T/sw=")</f>
        <v>#REF!</v>
      </c>
      <c r="GX18" t="e">
        <f>AND(#REF!,"AAAAAG+T/s0=")</f>
        <v>#REF!</v>
      </c>
      <c r="GY18" t="e">
        <f>AND(#REF!,"AAAAAG+T/s4=")</f>
        <v>#REF!</v>
      </c>
      <c r="GZ18" t="e">
        <f>AND(#REF!,"AAAAAG+T/s8=")</f>
        <v>#REF!</v>
      </c>
      <c r="HA18" t="e">
        <f>AND(#REF!,"AAAAAG+T/tA=")</f>
        <v>#REF!</v>
      </c>
      <c r="HB18" t="e">
        <f>AND(#REF!,"AAAAAG+T/tE=")</f>
        <v>#REF!</v>
      </c>
      <c r="HC18" t="e">
        <f>AND(#REF!,"AAAAAG+T/tI=")</f>
        <v>#REF!</v>
      </c>
      <c r="HD18" t="e">
        <f>AND(#REF!,"AAAAAG+T/tM=")</f>
        <v>#REF!</v>
      </c>
      <c r="HE18" t="e">
        <f>AND(#REF!,"AAAAAG+T/tQ=")</f>
        <v>#REF!</v>
      </c>
      <c r="HF18" t="e">
        <f>AND(#REF!,"AAAAAG+T/tU=")</f>
        <v>#REF!</v>
      </c>
      <c r="HG18" t="e">
        <f>AND(#REF!,"AAAAAG+T/tY=")</f>
        <v>#REF!</v>
      </c>
      <c r="HH18" t="e">
        <f>AND(#REF!,"AAAAAG+T/tc=")</f>
        <v>#REF!</v>
      </c>
      <c r="HI18" t="e">
        <f>AND(#REF!,"AAAAAG+T/tg=")</f>
        <v>#REF!</v>
      </c>
      <c r="HJ18" t="e">
        <f>AND(#REF!,"AAAAAG+T/tk=")</f>
        <v>#REF!</v>
      </c>
      <c r="HK18" t="e">
        <f>AND(#REF!,"AAAAAG+T/to=")</f>
        <v>#REF!</v>
      </c>
      <c r="HL18" t="e">
        <f>AND(#REF!,"AAAAAG+T/ts=")</f>
        <v>#REF!</v>
      </c>
      <c r="HM18" t="e">
        <f>AND(#REF!,"AAAAAG+T/tw=")</f>
        <v>#REF!</v>
      </c>
      <c r="HN18" t="e">
        <f>AND(#REF!,"AAAAAG+T/t0=")</f>
        <v>#REF!</v>
      </c>
      <c r="HO18" t="e">
        <f>AND(#REF!,"AAAAAG+T/t4=")</f>
        <v>#REF!</v>
      </c>
      <c r="HP18" t="e">
        <f>AND(#REF!,"AAAAAG+T/t8=")</f>
        <v>#REF!</v>
      </c>
      <c r="HQ18" t="e">
        <f>AND(#REF!,"AAAAAG+T/uA=")</f>
        <v>#REF!</v>
      </c>
      <c r="HR18" t="e">
        <f>AND(#REF!,"AAAAAG+T/uE=")</f>
        <v>#REF!</v>
      </c>
      <c r="HS18" t="e">
        <f>AND(#REF!,"AAAAAG+T/uI=")</f>
        <v>#REF!</v>
      </c>
      <c r="HT18" t="e">
        <f>AND(#REF!,"AAAAAG+T/uM=")</f>
        <v>#REF!</v>
      </c>
      <c r="HU18" t="e">
        <f>AND(#REF!,"AAAAAG+T/uQ=")</f>
        <v>#REF!</v>
      </c>
      <c r="HV18" t="e">
        <f>AND(#REF!,"AAAAAG+T/uU=")</f>
        <v>#REF!</v>
      </c>
      <c r="HW18" t="e">
        <f>AND(#REF!,"AAAAAG+T/uY=")</f>
        <v>#REF!</v>
      </c>
      <c r="HX18" t="e">
        <f>AND(#REF!,"AAAAAG+T/uc=")</f>
        <v>#REF!</v>
      </c>
      <c r="HY18" t="e">
        <f>AND(#REF!,"AAAAAG+T/ug=")</f>
        <v>#REF!</v>
      </c>
      <c r="HZ18" t="e">
        <f>AND(#REF!,"AAAAAG+T/uk=")</f>
        <v>#REF!</v>
      </c>
      <c r="IA18" t="e">
        <f>AND(#REF!,"AAAAAG+T/uo=")</f>
        <v>#REF!</v>
      </c>
      <c r="IB18" t="e">
        <f>AND(#REF!,"AAAAAG+T/us=")</f>
        <v>#REF!</v>
      </c>
      <c r="IC18" t="e">
        <f>AND(#REF!,"AAAAAG+T/uw=")</f>
        <v>#REF!</v>
      </c>
      <c r="ID18" t="e">
        <f>AND(#REF!,"AAAAAG+T/u0=")</f>
        <v>#REF!</v>
      </c>
      <c r="IE18" t="e">
        <f>AND(#REF!,"AAAAAG+T/u4=")</f>
        <v>#REF!</v>
      </c>
      <c r="IF18" t="e">
        <f>AND(#REF!,"AAAAAG+T/u8=")</f>
        <v>#REF!</v>
      </c>
      <c r="IG18" t="e">
        <f>AND(#REF!,"AAAAAG+T/vA=")</f>
        <v>#REF!</v>
      </c>
      <c r="IH18" t="e">
        <f>AND(#REF!,"AAAAAG+T/vE=")</f>
        <v>#REF!</v>
      </c>
      <c r="II18" t="e">
        <f>AND(#REF!,"AAAAAG+T/vI=")</f>
        <v>#REF!</v>
      </c>
      <c r="IJ18" t="e">
        <f>AND(#REF!,"AAAAAG+T/vM=")</f>
        <v>#REF!</v>
      </c>
      <c r="IK18" t="e">
        <f>AND(#REF!,"AAAAAG+T/vQ=")</f>
        <v>#REF!</v>
      </c>
      <c r="IL18" t="e">
        <f>AND(#REF!,"AAAAAG+T/vU=")</f>
        <v>#REF!</v>
      </c>
      <c r="IM18" t="e">
        <f>AND(#REF!,"AAAAAG+T/vY=")</f>
        <v>#REF!</v>
      </c>
      <c r="IN18" t="e">
        <f>AND(#REF!,"AAAAAG+T/vc=")</f>
        <v>#REF!</v>
      </c>
      <c r="IO18" t="e">
        <f>AND(#REF!,"AAAAAG+T/vg=")</f>
        <v>#REF!</v>
      </c>
      <c r="IP18" t="e">
        <f>AND(#REF!,"AAAAAG+T/vk=")</f>
        <v>#REF!</v>
      </c>
      <c r="IQ18" t="e">
        <f>AND(#REF!,"AAAAAG+T/vo=")</f>
        <v>#REF!</v>
      </c>
      <c r="IR18" t="e">
        <f>AND(#REF!,"AAAAAG+T/vs=")</f>
        <v>#REF!</v>
      </c>
      <c r="IS18" t="e">
        <f>AND(#REF!,"AAAAAG+T/vw=")</f>
        <v>#REF!</v>
      </c>
      <c r="IT18" t="e">
        <f>AND(#REF!,"AAAAAG+T/v0=")</f>
        <v>#REF!</v>
      </c>
      <c r="IU18" t="e">
        <f>AND(#REF!,"AAAAAG+T/v4=")</f>
        <v>#REF!</v>
      </c>
      <c r="IV18" t="e">
        <f>AND(#REF!,"AAAAAG+T/v8=")</f>
        <v>#REF!</v>
      </c>
    </row>
    <row r="19" spans="1:256" x14ac:dyDescent="0.25">
      <c r="A19" t="e">
        <f>AND(#REF!,"AAAAAH/rzQA=")</f>
        <v>#REF!</v>
      </c>
      <c r="B19" t="e">
        <f>AND(#REF!,"AAAAAH/rzQE=")</f>
        <v>#REF!</v>
      </c>
      <c r="C19" t="e">
        <f>AND(#REF!,"AAAAAH/rzQI=")</f>
        <v>#REF!</v>
      </c>
      <c r="D19" t="e">
        <f>AND(#REF!,"AAAAAH/rzQM=")</f>
        <v>#REF!</v>
      </c>
      <c r="E19" t="e">
        <f>AND(#REF!,"AAAAAH/rzQQ=")</f>
        <v>#REF!</v>
      </c>
      <c r="F19" t="e">
        <f>AND(#REF!,"AAAAAH/rzQU=")</f>
        <v>#REF!</v>
      </c>
      <c r="G19" t="e">
        <f>AND(#REF!,"AAAAAH/rzQY=")</f>
        <v>#REF!</v>
      </c>
      <c r="H19" t="e">
        <f>AND(#REF!,"AAAAAH/rzQc=")</f>
        <v>#REF!</v>
      </c>
      <c r="I19" t="e">
        <f>AND(#REF!,"AAAAAH/rzQg=")</f>
        <v>#REF!</v>
      </c>
      <c r="J19" t="e">
        <f>AND(#REF!,"AAAAAH/rzQk=")</f>
        <v>#REF!</v>
      </c>
      <c r="K19" t="e">
        <f>AND(#REF!,"AAAAAH/rzQo=")</f>
        <v>#REF!</v>
      </c>
      <c r="L19" t="e">
        <f>IF(#REF!,"AAAAAH/rzQs=",0)</f>
        <v>#REF!</v>
      </c>
      <c r="M19" t="e">
        <f>AND(#REF!,"AAAAAH/rzQw=")</f>
        <v>#REF!</v>
      </c>
      <c r="N19" t="e">
        <f>AND(#REF!,"AAAAAH/rzQ0=")</f>
        <v>#REF!</v>
      </c>
      <c r="O19" t="e">
        <f>AND(#REF!,"AAAAAH/rzQ4=")</f>
        <v>#REF!</v>
      </c>
      <c r="P19" t="e">
        <f>AND(#REF!,"AAAAAH/rzQ8=")</f>
        <v>#REF!</v>
      </c>
      <c r="Q19" t="e">
        <f>AND(#REF!,"AAAAAH/rzRA=")</f>
        <v>#REF!</v>
      </c>
      <c r="R19" t="e">
        <f>AND(#REF!,"AAAAAH/rzRE=")</f>
        <v>#REF!</v>
      </c>
      <c r="S19" t="e">
        <f>AND(#REF!,"AAAAAH/rzRI=")</f>
        <v>#REF!</v>
      </c>
      <c r="T19" t="e">
        <f>AND(#REF!,"AAAAAH/rzRM=")</f>
        <v>#REF!</v>
      </c>
      <c r="U19" t="e">
        <f>AND(#REF!,"AAAAAH/rzRQ=")</f>
        <v>#REF!</v>
      </c>
      <c r="V19" t="e">
        <f>AND(#REF!,"AAAAAH/rzRU=")</f>
        <v>#REF!</v>
      </c>
      <c r="W19" t="e">
        <f>AND(#REF!,"AAAAAH/rzRY=")</f>
        <v>#REF!</v>
      </c>
      <c r="X19" t="e">
        <f>AND(#REF!,"AAAAAH/rzRc=")</f>
        <v>#REF!</v>
      </c>
      <c r="Y19" t="e">
        <f>AND(#REF!,"AAAAAH/rzRg=")</f>
        <v>#REF!</v>
      </c>
      <c r="Z19" t="e">
        <f>AND(#REF!,"AAAAAH/rzRk=")</f>
        <v>#REF!</v>
      </c>
      <c r="AA19" t="e">
        <f>AND(#REF!,"AAAAAH/rzRo=")</f>
        <v>#REF!</v>
      </c>
      <c r="AB19" t="e">
        <f>AND(#REF!,"AAAAAH/rzRs=")</f>
        <v>#REF!</v>
      </c>
      <c r="AC19" t="e">
        <f>AND(#REF!,"AAAAAH/rzRw=")</f>
        <v>#REF!</v>
      </c>
      <c r="AD19" t="e">
        <f>AND(#REF!,"AAAAAH/rzR0=")</f>
        <v>#REF!</v>
      </c>
      <c r="AE19" t="e">
        <f>AND(#REF!,"AAAAAH/rzR4=")</f>
        <v>#REF!</v>
      </c>
      <c r="AF19" t="e">
        <f>AND(#REF!,"AAAAAH/rzR8=")</f>
        <v>#REF!</v>
      </c>
      <c r="AG19" t="e">
        <f>AND(#REF!,"AAAAAH/rzSA=")</f>
        <v>#REF!</v>
      </c>
      <c r="AH19" t="e">
        <f>AND(#REF!,"AAAAAH/rzSE=")</f>
        <v>#REF!</v>
      </c>
      <c r="AI19" t="e">
        <f>AND(#REF!,"AAAAAH/rzSI=")</f>
        <v>#REF!</v>
      </c>
      <c r="AJ19" t="e">
        <f>AND(#REF!,"AAAAAH/rzSM=")</f>
        <v>#REF!</v>
      </c>
      <c r="AK19" t="e">
        <f>AND(#REF!,"AAAAAH/rzSQ=")</f>
        <v>#REF!</v>
      </c>
      <c r="AL19" t="e">
        <f>AND(#REF!,"AAAAAH/rzSU=")</f>
        <v>#REF!</v>
      </c>
      <c r="AM19" t="e">
        <f>AND(#REF!,"AAAAAH/rzSY=")</f>
        <v>#REF!</v>
      </c>
      <c r="AN19" t="e">
        <f>AND(#REF!,"AAAAAH/rzSc=")</f>
        <v>#REF!</v>
      </c>
      <c r="AO19" t="e">
        <f>AND(#REF!,"AAAAAH/rzSg=")</f>
        <v>#REF!</v>
      </c>
      <c r="AP19" t="e">
        <f>AND(#REF!,"AAAAAH/rzSk=")</f>
        <v>#REF!</v>
      </c>
      <c r="AQ19" t="e">
        <f>AND(#REF!,"AAAAAH/rzSo=")</f>
        <v>#REF!</v>
      </c>
      <c r="AR19" t="e">
        <f>AND(#REF!,"AAAAAH/rzSs=")</f>
        <v>#REF!</v>
      </c>
      <c r="AS19" t="e">
        <f>AND(#REF!,"AAAAAH/rzSw=")</f>
        <v>#REF!</v>
      </c>
      <c r="AT19" t="e">
        <f>AND(#REF!,"AAAAAH/rzS0=")</f>
        <v>#REF!</v>
      </c>
      <c r="AU19" t="e">
        <f>AND(#REF!,"AAAAAH/rzS4=")</f>
        <v>#REF!</v>
      </c>
      <c r="AV19" t="e">
        <f>AND(#REF!,"AAAAAH/rzS8=")</f>
        <v>#REF!</v>
      </c>
      <c r="AW19" t="e">
        <f>AND(#REF!,"AAAAAH/rzTA=")</f>
        <v>#REF!</v>
      </c>
      <c r="AX19" t="e">
        <f>AND(#REF!,"AAAAAH/rzTE=")</f>
        <v>#REF!</v>
      </c>
      <c r="AY19" t="e">
        <f>AND(#REF!,"AAAAAH/rzTI=")</f>
        <v>#REF!</v>
      </c>
      <c r="AZ19" t="e">
        <f>AND(#REF!,"AAAAAH/rzTM=")</f>
        <v>#REF!</v>
      </c>
      <c r="BA19" t="e">
        <f>AND(#REF!,"AAAAAH/rzTQ=")</f>
        <v>#REF!</v>
      </c>
      <c r="BB19" t="e">
        <f>AND(#REF!,"AAAAAH/rzTU=")</f>
        <v>#REF!</v>
      </c>
      <c r="BC19" t="e">
        <f>AND(#REF!,"AAAAAH/rzTY=")</f>
        <v>#REF!</v>
      </c>
      <c r="BD19" t="e">
        <f>AND(#REF!,"AAAAAH/rzTc=")</f>
        <v>#REF!</v>
      </c>
      <c r="BE19" t="e">
        <f>AND(#REF!,"AAAAAH/rzTg=")</f>
        <v>#REF!</v>
      </c>
      <c r="BF19" t="e">
        <f>AND(#REF!,"AAAAAH/rzTk=")</f>
        <v>#REF!</v>
      </c>
      <c r="BG19" t="e">
        <f>AND(#REF!,"AAAAAH/rzTo=")</f>
        <v>#REF!</v>
      </c>
      <c r="BH19" t="e">
        <f>AND(#REF!,"AAAAAH/rzTs=")</f>
        <v>#REF!</v>
      </c>
      <c r="BI19" t="e">
        <f>AND(#REF!,"AAAAAH/rzTw=")</f>
        <v>#REF!</v>
      </c>
      <c r="BJ19" t="e">
        <f>AND(#REF!,"AAAAAH/rzT0=")</f>
        <v>#REF!</v>
      </c>
      <c r="BK19" t="e">
        <f>AND(#REF!,"AAAAAH/rzT4=")</f>
        <v>#REF!</v>
      </c>
      <c r="BL19" t="e">
        <f>AND(#REF!,"AAAAAH/rzT8=")</f>
        <v>#REF!</v>
      </c>
      <c r="BM19" t="e">
        <f>AND(#REF!,"AAAAAH/rzUA=")</f>
        <v>#REF!</v>
      </c>
      <c r="BN19" t="e">
        <f>AND(#REF!,"AAAAAH/rzUE=")</f>
        <v>#REF!</v>
      </c>
      <c r="BO19" t="e">
        <f>AND(#REF!,"AAAAAH/rzUI=")</f>
        <v>#REF!</v>
      </c>
      <c r="BP19" t="e">
        <f>AND(#REF!,"AAAAAH/rzUM=")</f>
        <v>#REF!</v>
      </c>
      <c r="BQ19" t="e">
        <f>AND(#REF!,"AAAAAH/rzUQ=")</f>
        <v>#REF!</v>
      </c>
      <c r="BR19" t="e">
        <f>AND(#REF!,"AAAAAH/rzUU=")</f>
        <v>#REF!</v>
      </c>
      <c r="BS19" t="e">
        <f>AND(#REF!,"AAAAAH/rzUY=")</f>
        <v>#REF!</v>
      </c>
      <c r="BT19" t="e">
        <f>AND(#REF!,"AAAAAH/rzUc=")</f>
        <v>#REF!</v>
      </c>
      <c r="BU19" t="e">
        <f>AND(#REF!,"AAAAAH/rzUg=")</f>
        <v>#REF!</v>
      </c>
      <c r="BV19" t="e">
        <f>AND(#REF!,"AAAAAH/rzUk=")</f>
        <v>#REF!</v>
      </c>
      <c r="BW19" t="e">
        <f>AND(#REF!,"AAAAAH/rzUo=")</f>
        <v>#REF!</v>
      </c>
      <c r="BX19" t="e">
        <f>AND(#REF!,"AAAAAH/rzUs=")</f>
        <v>#REF!</v>
      </c>
      <c r="BY19" t="e">
        <f>AND(#REF!,"AAAAAH/rzUw=")</f>
        <v>#REF!</v>
      </c>
      <c r="BZ19" t="e">
        <f>AND(#REF!,"AAAAAH/rzU0=")</f>
        <v>#REF!</v>
      </c>
      <c r="CA19" t="e">
        <f>AND(#REF!,"AAAAAH/rzU4=")</f>
        <v>#REF!</v>
      </c>
      <c r="CB19" t="e">
        <f>AND(#REF!,"AAAAAH/rzU8=")</f>
        <v>#REF!</v>
      </c>
      <c r="CC19" t="e">
        <f>AND(#REF!,"AAAAAH/rzVA=")</f>
        <v>#REF!</v>
      </c>
      <c r="CD19" t="e">
        <f>AND(#REF!,"AAAAAH/rzVE=")</f>
        <v>#REF!</v>
      </c>
      <c r="CE19" t="e">
        <f>AND(#REF!,"AAAAAH/rzVI=")</f>
        <v>#REF!</v>
      </c>
      <c r="CF19" t="e">
        <f>AND(#REF!,"AAAAAH/rzVM=")</f>
        <v>#REF!</v>
      </c>
      <c r="CG19" t="e">
        <f>AND(#REF!,"AAAAAH/rzVQ=")</f>
        <v>#REF!</v>
      </c>
      <c r="CH19" t="e">
        <f>AND(#REF!,"AAAAAH/rzVU=")</f>
        <v>#REF!</v>
      </c>
      <c r="CI19" t="e">
        <f>AND(#REF!,"AAAAAH/rzVY=")</f>
        <v>#REF!</v>
      </c>
      <c r="CJ19" t="e">
        <f>AND(#REF!,"AAAAAH/rzVc=")</f>
        <v>#REF!</v>
      </c>
      <c r="CK19" t="e">
        <f>AND(#REF!,"AAAAAH/rzVg=")</f>
        <v>#REF!</v>
      </c>
      <c r="CL19" t="e">
        <f>AND(#REF!,"AAAAAH/rzVk=")</f>
        <v>#REF!</v>
      </c>
      <c r="CM19" t="e">
        <f>AND(#REF!,"AAAAAH/rzVo=")</f>
        <v>#REF!</v>
      </c>
      <c r="CN19" t="e">
        <f>AND(#REF!,"AAAAAH/rzVs=")</f>
        <v>#REF!</v>
      </c>
      <c r="CO19" t="e">
        <f>AND(#REF!,"AAAAAH/rzVw=")</f>
        <v>#REF!</v>
      </c>
      <c r="CP19" t="e">
        <f>AND(#REF!,"AAAAAH/rzV0=")</f>
        <v>#REF!</v>
      </c>
      <c r="CQ19" t="e">
        <f>AND(#REF!,"AAAAAH/rzV4=")</f>
        <v>#REF!</v>
      </c>
      <c r="CR19" t="e">
        <f>AND(#REF!,"AAAAAH/rzV8=")</f>
        <v>#REF!</v>
      </c>
      <c r="CS19" t="e">
        <f>AND(#REF!,"AAAAAH/rzWA=")</f>
        <v>#REF!</v>
      </c>
      <c r="CT19" t="e">
        <f>AND(#REF!,"AAAAAH/rzWE=")</f>
        <v>#REF!</v>
      </c>
      <c r="CU19" t="e">
        <f>AND(#REF!,"AAAAAH/rzWI=")</f>
        <v>#REF!</v>
      </c>
      <c r="CV19" t="e">
        <f>AND(#REF!,"AAAAAH/rzWM=")</f>
        <v>#REF!</v>
      </c>
      <c r="CW19" t="e">
        <f>AND(#REF!,"AAAAAH/rzWQ=")</f>
        <v>#REF!</v>
      </c>
      <c r="CX19" t="e">
        <f>AND(#REF!,"AAAAAH/rzWU=")</f>
        <v>#REF!</v>
      </c>
      <c r="CY19" t="e">
        <f>AND(#REF!,"AAAAAH/rzWY=")</f>
        <v>#REF!</v>
      </c>
      <c r="CZ19" t="e">
        <f>AND(#REF!,"AAAAAH/rzWc=")</f>
        <v>#REF!</v>
      </c>
      <c r="DA19" t="e">
        <f>AND(#REF!,"AAAAAH/rzWg=")</f>
        <v>#REF!</v>
      </c>
      <c r="DB19" t="e">
        <f>AND(#REF!,"AAAAAH/rzWk=")</f>
        <v>#REF!</v>
      </c>
      <c r="DC19" t="e">
        <f>AND(#REF!,"AAAAAH/rzWo=")</f>
        <v>#REF!</v>
      </c>
      <c r="DD19" t="e">
        <f>AND(#REF!,"AAAAAH/rzWs=")</f>
        <v>#REF!</v>
      </c>
      <c r="DE19" t="e">
        <f>AND(#REF!,"AAAAAH/rzWw=")</f>
        <v>#REF!</v>
      </c>
      <c r="DF19" t="e">
        <f>AND(#REF!,"AAAAAH/rzW0=")</f>
        <v>#REF!</v>
      </c>
      <c r="DG19" t="e">
        <f>AND(#REF!,"AAAAAH/rzW4=")</f>
        <v>#REF!</v>
      </c>
      <c r="DH19" t="e">
        <f>AND(#REF!,"AAAAAH/rzW8=")</f>
        <v>#REF!</v>
      </c>
      <c r="DI19" t="e">
        <f>AND(#REF!,"AAAAAH/rzXA=")</f>
        <v>#REF!</v>
      </c>
      <c r="DJ19" t="e">
        <f>AND(#REF!,"AAAAAH/rzXE=")</f>
        <v>#REF!</v>
      </c>
      <c r="DK19" t="e">
        <f>AND(#REF!,"AAAAAH/rzXI=")</f>
        <v>#REF!</v>
      </c>
      <c r="DL19" t="e">
        <f>AND(#REF!,"AAAAAH/rzXM=")</f>
        <v>#REF!</v>
      </c>
      <c r="DM19" t="e">
        <f>AND(#REF!,"AAAAAH/rzXQ=")</f>
        <v>#REF!</v>
      </c>
      <c r="DN19" t="e">
        <f>AND(#REF!,"AAAAAH/rzXU=")</f>
        <v>#REF!</v>
      </c>
      <c r="DO19" t="e">
        <f>AND(#REF!,"AAAAAH/rzXY=")</f>
        <v>#REF!</v>
      </c>
      <c r="DP19" t="e">
        <f>AND(#REF!,"AAAAAH/rzXc=")</f>
        <v>#REF!</v>
      </c>
      <c r="DQ19" t="e">
        <f>AND(#REF!,"AAAAAH/rzXg=")</f>
        <v>#REF!</v>
      </c>
      <c r="DR19" t="e">
        <f>AND(#REF!,"AAAAAH/rzXk=")</f>
        <v>#REF!</v>
      </c>
      <c r="DS19" t="e">
        <f>AND(#REF!,"AAAAAH/rzXo=")</f>
        <v>#REF!</v>
      </c>
      <c r="DT19" t="e">
        <f>AND(#REF!,"AAAAAH/rzXs=")</f>
        <v>#REF!</v>
      </c>
      <c r="DU19" t="e">
        <f>AND(#REF!,"AAAAAH/rzXw=")</f>
        <v>#REF!</v>
      </c>
      <c r="DV19" t="e">
        <f>AND(#REF!,"AAAAAH/rzX0=")</f>
        <v>#REF!</v>
      </c>
      <c r="DW19" t="e">
        <f>AND(#REF!,"AAAAAH/rzX4=")</f>
        <v>#REF!</v>
      </c>
      <c r="DX19" t="e">
        <f>AND(#REF!,"AAAAAH/rzX8=")</f>
        <v>#REF!</v>
      </c>
      <c r="DY19" t="e">
        <f>AND(#REF!,"AAAAAH/rzYA=")</f>
        <v>#REF!</v>
      </c>
      <c r="DZ19" t="e">
        <f>AND(#REF!,"AAAAAH/rzYE=")</f>
        <v>#REF!</v>
      </c>
      <c r="EA19" t="e">
        <f>AND(#REF!,"AAAAAH/rzYI=")</f>
        <v>#REF!</v>
      </c>
      <c r="EB19" t="e">
        <f>AND(#REF!,"AAAAAH/rzYM=")</f>
        <v>#REF!</v>
      </c>
      <c r="EC19" t="e">
        <f>AND(#REF!,"AAAAAH/rzYQ=")</f>
        <v>#REF!</v>
      </c>
      <c r="ED19" t="e">
        <f>AND(#REF!,"AAAAAH/rzYU=")</f>
        <v>#REF!</v>
      </c>
      <c r="EE19" t="e">
        <f>AND(#REF!,"AAAAAH/rzYY=")</f>
        <v>#REF!</v>
      </c>
      <c r="EF19" t="e">
        <f>AND(#REF!,"AAAAAH/rzYc=")</f>
        <v>#REF!</v>
      </c>
      <c r="EG19" t="e">
        <f>AND(#REF!,"AAAAAH/rzYg=")</f>
        <v>#REF!</v>
      </c>
      <c r="EH19" t="e">
        <f>AND(#REF!,"AAAAAH/rzYk=")</f>
        <v>#REF!</v>
      </c>
      <c r="EI19" t="e">
        <f>AND(#REF!,"AAAAAH/rzYo=")</f>
        <v>#REF!</v>
      </c>
      <c r="EJ19" t="e">
        <f>AND(#REF!,"AAAAAH/rzYs=")</f>
        <v>#REF!</v>
      </c>
      <c r="EK19" t="e">
        <f>AND(#REF!,"AAAAAH/rzYw=")</f>
        <v>#REF!</v>
      </c>
      <c r="EL19" t="e">
        <f>AND(#REF!,"AAAAAH/rzY0=")</f>
        <v>#REF!</v>
      </c>
      <c r="EM19" t="e">
        <f>AND(#REF!,"AAAAAH/rzY4=")</f>
        <v>#REF!</v>
      </c>
      <c r="EN19" t="e">
        <f>AND(#REF!,"AAAAAH/rzY8=")</f>
        <v>#REF!</v>
      </c>
      <c r="EO19" t="e">
        <f>AND(#REF!,"AAAAAH/rzZA=")</f>
        <v>#REF!</v>
      </c>
      <c r="EP19" t="e">
        <f>AND(#REF!,"AAAAAH/rzZE=")</f>
        <v>#REF!</v>
      </c>
      <c r="EQ19" t="e">
        <f>AND(#REF!,"AAAAAH/rzZI=")</f>
        <v>#REF!</v>
      </c>
      <c r="ER19" t="e">
        <f>AND(#REF!,"AAAAAH/rzZM=")</f>
        <v>#REF!</v>
      </c>
      <c r="ES19" t="e">
        <f>AND(#REF!,"AAAAAH/rzZQ=")</f>
        <v>#REF!</v>
      </c>
      <c r="ET19" t="e">
        <f>AND(#REF!,"AAAAAH/rzZU=")</f>
        <v>#REF!</v>
      </c>
      <c r="EU19" t="e">
        <f>AND(#REF!,"AAAAAH/rzZY=")</f>
        <v>#REF!</v>
      </c>
      <c r="EV19" t="e">
        <f>AND(#REF!,"AAAAAH/rzZc=")</f>
        <v>#REF!</v>
      </c>
      <c r="EW19" t="e">
        <f>AND(#REF!,"AAAAAH/rzZg=")</f>
        <v>#REF!</v>
      </c>
      <c r="EX19" t="e">
        <f>AND(#REF!,"AAAAAH/rzZk=")</f>
        <v>#REF!</v>
      </c>
      <c r="EY19" t="e">
        <f>AND(#REF!,"AAAAAH/rzZo=")</f>
        <v>#REF!</v>
      </c>
      <c r="EZ19" t="e">
        <f>AND(#REF!,"AAAAAH/rzZs=")</f>
        <v>#REF!</v>
      </c>
      <c r="FA19" t="e">
        <f>AND(#REF!,"AAAAAH/rzZw=")</f>
        <v>#REF!</v>
      </c>
      <c r="FB19" t="e">
        <f>AND(#REF!,"AAAAAH/rzZ0=")</f>
        <v>#REF!</v>
      </c>
      <c r="FC19" t="e">
        <f>AND(#REF!,"AAAAAH/rzZ4=")</f>
        <v>#REF!</v>
      </c>
      <c r="FD19" t="e">
        <f>AND(#REF!,"AAAAAH/rzZ8=")</f>
        <v>#REF!</v>
      </c>
      <c r="FE19" t="e">
        <f>AND(#REF!,"AAAAAH/rzaA=")</f>
        <v>#REF!</v>
      </c>
      <c r="FF19" t="e">
        <f>AND(#REF!,"AAAAAH/rzaE=")</f>
        <v>#REF!</v>
      </c>
      <c r="FG19" t="e">
        <f>AND(#REF!,"AAAAAH/rzaI=")</f>
        <v>#REF!</v>
      </c>
      <c r="FH19" t="e">
        <f>AND(#REF!,"AAAAAH/rzaM=")</f>
        <v>#REF!</v>
      </c>
      <c r="FI19" t="e">
        <f>AND(#REF!,"AAAAAH/rzaQ=")</f>
        <v>#REF!</v>
      </c>
      <c r="FJ19" t="e">
        <f>AND(#REF!,"AAAAAH/rzaU=")</f>
        <v>#REF!</v>
      </c>
      <c r="FK19" t="e">
        <f>AND(#REF!,"AAAAAH/rzaY=")</f>
        <v>#REF!</v>
      </c>
      <c r="FL19" t="e">
        <f>AND(#REF!,"AAAAAH/rzac=")</f>
        <v>#REF!</v>
      </c>
      <c r="FM19" t="e">
        <f>AND(#REF!,"AAAAAH/rzag=")</f>
        <v>#REF!</v>
      </c>
      <c r="FN19" t="e">
        <f>AND(#REF!,"AAAAAH/rzak=")</f>
        <v>#REF!</v>
      </c>
      <c r="FO19" t="e">
        <f>AND(#REF!,"AAAAAH/rzao=")</f>
        <v>#REF!</v>
      </c>
      <c r="FP19" t="e">
        <f>AND(#REF!,"AAAAAH/rzas=")</f>
        <v>#REF!</v>
      </c>
      <c r="FQ19" t="e">
        <f>AND(#REF!,"AAAAAH/rzaw=")</f>
        <v>#REF!</v>
      </c>
      <c r="FR19" t="e">
        <f>AND(#REF!,"AAAAAH/rza0=")</f>
        <v>#REF!</v>
      </c>
      <c r="FS19" t="e">
        <f>AND(#REF!,"AAAAAH/rza4=")</f>
        <v>#REF!</v>
      </c>
      <c r="FT19" t="e">
        <f>AND(#REF!,"AAAAAH/rza8=")</f>
        <v>#REF!</v>
      </c>
      <c r="FU19" t="e">
        <f>AND(#REF!,"AAAAAH/rzbA=")</f>
        <v>#REF!</v>
      </c>
      <c r="FV19" t="e">
        <f>AND(#REF!,"AAAAAH/rzbE=")</f>
        <v>#REF!</v>
      </c>
      <c r="FW19" t="e">
        <f>AND(#REF!,"AAAAAH/rzbI=")</f>
        <v>#REF!</v>
      </c>
      <c r="FX19" t="e">
        <f>AND(#REF!,"AAAAAH/rzbM=")</f>
        <v>#REF!</v>
      </c>
      <c r="FY19" t="e">
        <f>AND(#REF!,"AAAAAH/rzbQ=")</f>
        <v>#REF!</v>
      </c>
      <c r="FZ19" t="e">
        <f>AND(#REF!,"AAAAAH/rzbU=")</f>
        <v>#REF!</v>
      </c>
      <c r="GA19" t="e">
        <f>AND(#REF!,"AAAAAH/rzbY=")</f>
        <v>#REF!</v>
      </c>
      <c r="GB19" t="e">
        <f>AND(#REF!,"AAAAAH/rzbc=")</f>
        <v>#REF!</v>
      </c>
      <c r="GC19" t="e">
        <f>AND(#REF!,"AAAAAH/rzbg=")</f>
        <v>#REF!</v>
      </c>
      <c r="GD19" t="e">
        <f>AND(#REF!,"AAAAAH/rzbk=")</f>
        <v>#REF!</v>
      </c>
      <c r="GE19" t="e">
        <f>AND(#REF!,"AAAAAH/rzbo=")</f>
        <v>#REF!</v>
      </c>
      <c r="GF19" t="e">
        <f>AND(#REF!,"AAAAAH/rzbs=")</f>
        <v>#REF!</v>
      </c>
      <c r="GG19" t="e">
        <f>AND(#REF!,"AAAAAH/rzbw=")</f>
        <v>#REF!</v>
      </c>
      <c r="GH19" t="e">
        <f>AND(#REF!,"AAAAAH/rzb0=")</f>
        <v>#REF!</v>
      </c>
      <c r="GI19" t="e">
        <f>AND(#REF!,"AAAAAH/rzb4=")</f>
        <v>#REF!</v>
      </c>
      <c r="GJ19" t="e">
        <f>AND(#REF!,"AAAAAH/rzb8=")</f>
        <v>#REF!</v>
      </c>
      <c r="GK19" t="e">
        <f>AND(#REF!,"AAAAAH/rzcA=")</f>
        <v>#REF!</v>
      </c>
      <c r="GL19" t="e">
        <f>AND(#REF!,"AAAAAH/rzcE=")</f>
        <v>#REF!</v>
      </c>
      <c r="GM19" t="e">
        <f>AND(#REF!,"AAAAAH/rzcI=")</f>
        <v>#REF!</v>
      </c>
      <c r="GN19" t="e">
        <f>AND(#REF!,"AAAAAH/rzcM=")</f>
        <v>#REF!</v>
      </c>
      <c r="GO19" t="e">
        <f>AND(#REF!,"AAAAAH/rzcQ=")</f>
        <v>#REF!</v>
      </c>
      <c r="GP19" t="e">
        <f>AND(#REF!,"AAAAAH/rzcU=")</f>
        <v>#REF!</v>
      </c>
      <c r="GQ19" t="e">
        <f>AND(#REF!,"AAAAAH/rzcY=")</f>
        <v>#REF!</v>
      </c>
      <c r="GR19" t="e">
        <f>AND(#REF!,"AAAAAH/rzcc=")</f>
        <v>#REF!</v>
      </c>
      <c r="GS19" t="e">
        <f>AND(#REF!,"AAAAAH/rzcg=")</f>
        <v>#REF!</v>
      </c>
      <c r="GT19" t="e">
        <f>AND(#REF!,"AAAAAH/rzck=")</f>
        <v>#REF!</v>
      </c>
      <c r="GU19" t="e">
        <f>AND(#REF!,"AAAAAH/rzco=")</f>
        <v>#REF!</v>
      </c>
      <c r="GV19" t="e">
        <f>AND(#REF!,"AAAAAH/rzcs=")</f>
        <v>#REF!</v>
      </c>
      <c r="GW19" t="e">
        <f>AND(#REF!,"AAAAAH/rzcw=")</f>
        <v>#REF!</v>
      </c>
      <c r="GX19" t="e">
        <f>AND(#REF!,"AAAAAH/rzc0=")</f>
        <v>#REF!</v>
      </c>
      <c r="GY19" t="e">
        <f>AND(#REF!,"AAAAAH/rzc4=")</f>
        <v>#REF!</v>
      </c>
      <c r="GZ19" t="e">
        <f>AND(#REF!,"AAAAAH/rzc8=")</f>
        <v>#REF!</v>
      </c>
      <c r="HA19" t="e">
        <f>AND(#REF!,"AAAAAH/rzdA=")</f>
        <v>#REF!</v>
      </c>
      <c r="HB19" t="e">
        <f>AND(#REF!,"AAAAAH/rzdE=")</f>
        <v>#REF!</v>
      </c>
      <c r="HC19" t="e">
        <f>AND(#REF!,"AAAAAH/rzdI=")</f>
        <v>#REF!</v>
      </c>
      <c r="HD19" t="e">
        <f>AND(#REF!,"AAAAAH/rzdM=")</f>
        <v>#REF!</v>
      </c>
      <c r="HE19" t="e">
        <f>AND(#REF!,"AAAAAH/rzdQ=")</f>
        <v>#REF!</v>
      </c>
      <c r="HF19" t="e">
        <f>AND(#REF!,"AAAAAH/rzdU=")</f>
        <v>#REF!</v>
      </c>
      <c r="HG19" t="e">
        <f>AND(#REF!,"AAAAAH/rzdY=")</f>
        <v>#REF!</v>
      </c>
      <c r="HH19" t="e">
        <f>AND(#REF!,"AAAAAH/rzdc=")</f>
        <v>#REF!</v>
      </c>
      <c r="HI19" t="e">
        <f>AND(#REF!,"AAAAAH/rzdg=")</f>
        <v>#REF!</v>
      </c>
      <c r="HJ19" t="e">
        <f>AND(#REF!,"AAAAAH/rzdk=")</f>
        <v>#REF!</v>
      </c>
      <c r="HK19" t="e">
        <f>AND(#REF!,"AAAAAH/rzdo=")</f>
        <v>#REF!</v>
      </c>
      <c r="HL19" t="e">
        <f>AND(#REF!,"AAAAAH/rzds=")</f>
        <v>#REF!</v>
      </c>
      <c r="HM19" t="e">
        <f>AND(#REF!,"AAAAAH/rzdw=")</f>
        <v>#REF!</v>
      </c>
      <c r="HN19" t="e">
        <f>AND(#REF!,"AAAAAH/rzd0=")</f>
        <v>#REF!</v>
      </c>
      <c r="HO19" t="e">
        <f>AND(#REF!,"AAAAAH/rzd4=")</f>
        <v>#REF!</v>
      </c>
      <c r="HP19" t="e">
        <f>AND(#REF!,"AAAAAH/rzd8=")</f>
        <v>#REF!</v>
      </c>
      <c r="HQ19" t="e">
        <f>AND(#REF!,"AAAAAH/rzeA=")</f>
        <v>#REF!</v>
      </c>
      <c r="HR19" t="e">
        <f>AND(#REF!,"AAAAAH/rzeE=")</f>
        <v>#REF!</v>
      </c>
      <c r="HS19" t="e">
        <f>AND(#REF!,"AAAAAH/rzeI=")</f>
        <v>#REF!</v>
      </c>
      <c r="HT19" t="e">
        <f>AND(#REF!,"AAAAAH/rzeM=")</f>
        <v>#REF!</v>
      </c>
      <c r="HU19" t="e">
        <f>AND(#REF!,"AAAAAH/rzeQ=")</f>
        <v>#REF!</v>
      </c>
      <c r="HV19" t="e">
        <f>AND(#REF!,"AAAAAH/rzeU=")</f>
        <v>#REF!</v>
      </c>
      <c r="HW19" t="e">
        <f>AND(#REF!,"AAAAAH/rzeY=")</f>
        <v>#REF!</v>
      </c>
      <c r="HX19" t="e">
        <f>AND(#REF!,"AAAAAH/rzec=")</f>
        <v>#REF!</v>
      </c>
      <c r="HY19" t="e">
        <f>AND(#REF!,"AAAAAH/rzeg=")</f>
        <v>#REF!</v>
      </c>
      <c r="HZ19" t="e">
        <f>AND(#REF!,"AAAAAH/rzek=")</f>
        <v>#REF!</v>
      </c>
      <c r="IA19" t="e">
        <f>AND(#REF!,"AAAAAH/rzeo=")</f>
        <v>#REF!</v>
      </c>
      <c r="IB19" t="e">
        <f>AND(#REF!,"AAAAAH/rzes=")</f>
        <v>#REF!</v>
      </c>
      <c r="IC19" t="e">
        <f>AND(#REF!,"AAAAAH/rzew=")</f>
        <v>#REF!</v>
      </c>
      <c r="ID19" t="e">
        <f>AND(#REF!,"AAAAAH/rze0=")</f>
        <v>#REF!</v>
      </c>
      <c r="IE19" t="e">
        <f>AND(#REF!,"AAAAAH/rze4=")</f>
        <v>#REF!</v>
      </c>
      <c r="IF19" t="e">
        <f>AND(#REF!,"AAAAAH/rze8=")</f>
        <v>#REF!</v>
      </c>
      <c r="IG19" t="e">
        <f>AND(#REF!,"AAAAAH/rzfA=")</f>
        <v>#REF!</v>
      </c>
      <c r="IH19" t="e">
        <f>AND(#REF!,"AAAAAH/rzfE=")</f>
        <v>#REF!</v>
      </c>
      <c r="II19" t="e">
        <f>AND(#REF!,"AAAAAH/rzfI=")</f>
        <v>#REF!</v>
      </c>
      <c r="IJ19" t="e">
        <f>AND(#REF!,"AAAAAH/rzfM=")</f>
        <v>#REF!</v>
      </c>
      <c r="IK19" t="e">
        <f>AND(#REF!,"AAAAAH/rzfQ=")</f>
        <v>#REF!</v>
      </c>
      <c r="IL19" t="e">
        <f>AND(#REF!,"AAAAAH/rzfU=")</f>
        <v>#REF!</v>
      </c>
      <c r="IM19" t="e">
        <f>AND(#REF!,"AAAAAH/rzfY=")</f>
        <v>#REF!</v>
      </c>
      <c r="IN19" t="e">
        <f>AND(#REF!,"AAAAAH/rzfc=")</f>
        <v>#REF!</v>
      </c>
      <c r="IO19" t="e">
        <f>AND(#REF!,"AAAAAH/rzfg=")</f>
        <v>#REF!</v>
      </c>
      <c r="IP19" t="e">
        <f>AND(#REF!,"AAAAAH/rzfk=")</f>
        <v>#REF!</v>
      </c>
      <c r="IQ19" t="e">
        <f>AND(#REF!,"AAAAAH/rzfo=")</f>
        <v>#REF!</v>
      </c>
      <c r="IR19" t="e">
        <f>AND(#REF!,"AAAAAH/rzfs=")</f>
        <v>#REF!</v>
      </c>
      <c r="IS19" t="e">
        <f>AND(#REF!,"AAAAAH/rzfw=")</f>
        <v>#REF!</v>
      </c>
      <c r="IT19" t="e">
        <f>AND(#REF!,"AAAAAH/rzf0=")</f>
        <v>#REF!</v>
      </c>
      <c r="IU19" t="e">
        <f>AND(#REF!,"AAAAAH/rzf4=")</f>
        <v>#REF!</v>
      </c>
      <c r="IV19" t="e">
        <f>AND(#REF!,"AAAAAH/rzf8=")</f>
        <v>#REF!</v>
      </c>
    </row>
    <row r="20" spans="1:256" x14ac:dyDescent="0.25">
      <c r="A20" t="e">
        <f>AND(#REF!,"AAAAAC/7fQA=")</f>
        <v>#REF!</v>
      </c>
      <c r="B20" t="e">
        <f>AND(#REF!,"AAAAAC/7fQE=")</f>
        <v>#REF!</v>
      </c>
      <c r="C20" t="e">
        <f>AND(#REF!,"AAAAAC/7fQI=")</f>
        <v>#REF!</v>
      </c>
      <c r="D20" t="e">
        <f>AND(#REF!,"AAAAAC/7fQM=")</f>
        <v>#REF!</v>
      </c>
      <c r="E20" t="e">
        <f>AND(#REF!,"AAAAAC/7fQQ=")</f>
        <v>#REF!</v>
      </c>
      <c r="F20" t="e">
        <f>AND(#REF!,"AAAAAC/7fQU=")</f>
        <v>#REF!</v>
      </c>
      <c r="G20" t="e">
        <f>AND(#REF!,"AAAAAC/7fQY=")</f>
        <v>#REF!</v>
      </c>
      <c r="H20" t="e">
        <f>AND(#REF!,"AAAAAC/7fQc=")</f>
        <v>#REF!</v>
      </c>
      <c r="I20" t="e">
        <f>AND(#REF!,"AAAAAC/7fQg=")</f>
        <v>#REF!</v>
      </c>
      <c r="J20" t="e">
        <f>AND(#REF!,"AAAAAC/7fQk=")</f>
        <v>#REF!</v>
      </c>
      <c r="K20" t="e">
        <f>AND(#REF!,"AAAAAC/7fQo=")</f>
        <v>#REF!</v>
      </c>
      <c r="L20" t="e">
        <f>AND(#REF!,"AAAAAC/7fQs=")</f>
        <v>#REF!</v>
      </c>
      <c r="M20" t="e">
        <f>IF(#REF!,"AAAAAC/7fQw=",0)</f>
        <v>#REF!</v>
      </c>
      <c r="N20" t="e">
        <f>AND(#REF!,"AAAAAC/7fQ0=")</f>
        <v>#REF!</v>
      </c>
      <c r="O20" t="e">
        <f>AND(#REF!,"AAAAAC/7fQ4=")</f>
        <v>#REF!</v>
      </c>
      <c r="P20" t="e">
        <f>AND(#REF!,"AAAAAC/7fQ8=")</f>
        <v>#REF!</v>
      </c>
      <c r="Q20" t="e">
        <f>AND(#REF!,"AAAAAC/7fRA=")</f>
        <v>#REF!</v>
      </c>
      <c r="R20" t="e">
        <f>AND(#REF!,"AAAAAC/7fRE=")</f>
        <v>#REF!</v>
      </c>
      <c r="S20" t="e">
        <f>AND(#REF!,"AAAAAC/7fRI=")</f>
        <v>#REF!</v>
      </c>
      <c r="T20" t="e">
        <f>AND(#REF!,"AAAAAC/7fRM=")</f>
        <v>#REF!</v>
      </c>
      <c r="U20" t="e">
        <f>AND(#REF!,"AAAAAC/7fRQ=")</f>
        <v>#REF!</v>
      </c>
      <c r="V20" t="e">
        <f>AND(#REF!,"AAAAAC/7fRU=")</f>
        <v>#REF!</v>
      </c>
      <c r="W20" t="e">
        <f>AND(#REF!,"AAAAAC/7fRY=")</f>
        <v>#REF!</v>
      </c>
      <c r="X20" t="e">
        <f>AND(#REF!,"AAAAAC/7fRc=")</f>
        <v>#REF!</v>
      </c>
      <c r="Y20" t="e">
        <f>AND(#REF!,"AAAAAC/7fRg=")</f>
        <v>#REF!</v>
      </c>
      <c r="Z20" t="e">
        <f>AND(#REF!,"AAAAAC/7fRk=")</f>
        <v>#REF!</v>
      </c>
      <c r="AA20" t="e">
        <f>AND(#REF!,"AAAAAC/7fRo=")</f>
        <v>#REF!</v>
      </c>
      <c r="AB20" t="e">
        <f>AND(#REF!,"AAAAAC/7fRs=")</f>
        <v>#REF!</v>
      </c>
      <c r="AC20" t="e">
        <f>AND(#REF!,"AAAAAC/7fRw=")</f>
        <v>#REF!</v>
      </c>
      <c r="AD20" t="e">
        <f>AND(#REF!,"AAAAAC/7fR0=")</f>
        <v>#REF!</v>
      </c>
      <c r="AE20" t="e">
        <f>AND(#REF!,"AAAAAC/7fR4=")</f>
        <v>#REF!</v>
      </c>
      <c r="AF20" t="e">
        <f>AND(#REF!,"AAAAAC/7fR8=")</f>
        <v>#REF!</v>
      </c>
      <c r="AG20" t="e">
        <f>AND(#REF!,"AAAAAC/7fSA=")</f>
        <v>#REF!</v>
      </c>
      <c r="AH20" t="e">
        <f>AND(#REF!,"AAAAAC/7fSE=")</f>
        <v>#REF!</v>
      </c>
      <c r="AI20" t="e">
        <f>AND(#REF!,"AAAAAC/7fSI=")</f>
        <v>#REF!</v>
      </c>
      <c r="AJ20" t="e">
        <f>AND(#REF!,"AAAAAC/7fSM=")</f>
        <v>#REF!</v>
      </c>
      <c r="AK20" t="e">
        <f>AND(#REF!,"AAAAAC/7fSQ=")</f>
        <v>#REF!</v>
      </c>
      <c r="AL20" t="e">
        <f>AND(#REF!,"AAAAAC/7fSU=")</f>
        <v>#REF!</v>
      </c>
      <c r="AM20" t="e">
        <f>AND(#REF!,"AAAAAC/7fSY=")</f>
        <v>#REF!</v>
      </c>
      <c r="AN20" t="e">
        <f>AND(#REF!,"AAAAAC/7fSc=")</f>
        <v>#REF!</v>
      </c>
      <c r="AO20" t="e">
        <f>AND(#REF!,"AAAAAC/7fSg=")</f>
        <v>#REF!</v>
      </c>
      <c r="AP20" t="e">
        <f>AND(#REF!,"AAAAAC/7fSk=")</f>
        <v>#REF!</v>
      </c>
      <c r="AQ20" t="e">
        <f>AND(#REF!,"AAAAAC/7fSo=")</f>
        <v>#REF!</v>
      </c>
      <c r="AR20" t="e">
        <f>AND(#REF!,"AAAAAC/7fSs=")</f>
        <v>#REF!</v>
      </c>
      <c r="AS20" t="e">
        <f>AND(#REF!,"AAAAAC/7fSw=")</f>
        <v>#REF!</v>
      </c>
      <c r="AT20" t="e">
        <f>AND(#REF!,"AAAAAC/7fS0=")</f>
        <v>#REF!</v>
      </c>
      <c r="AU20" t="e">
        <f>AND(#REF!,"AAAAAC/7fS4=")</f>
        <v>#REF!</v>
      </c>
      <c r="AV20" t="e">
        <f>AND(#REF!,"AAAAAC/7fS8=")</f>
        <v>#REF!</v>
      </c>
      <c r="AW20" t="e">
        <f>AND(#REF!,"AAAAAC/7fTA=")</f>
        <v>#REF!</v>
      </c>
      <c r="AX20" t="e">
        <f>AND(#REF!,"AAAAAC/7fTE=")</f>
        <v>#REF!</v>
      </c>
      <c r="AY20" t="e">
        <f>AND(#REF!,"AAAAAC/7fTI=")</f>
        <v>#REF!</v>
      </c>
      <c r="AZ20" t="e">
        <f>AND(#REF!,"AAAAAC/7fTM=")</f>
        <v>#REF!</v>
      </c>
      <c r="BA20" t="e">
        <f>AND(#REF!,"AAAAAC/7fTQ=")</f>
        <v>#REF!</v>
      </c>
      <c r="BB20" t="e">
        <f>AND(#REF!,"AAAAAC/7fTU=")</f>
        <v>#REF!</v>
      </c>
      <c r="BC20" t="e">
        <f>AND(#REF!,"AAAAAC/7fTY=")</f>
        <v>#REF!</v>
      </c>
      <c r="BD20" t="e">
        <f>AND(#REF!,"AAAAAC/7fTc=")</f>
        <v>#REF!</v>
      </c>
      <c r="BE20" t="e">
        <f>AND(#REF!,"AAAAAC/7fTg=")</f>
        <v>#REF!</v>
      </c>
      <c r="BF20" t="e">
        <f>AND(#REF!,"AAAAAC/7fTk=")</f>
        <v>#REF!</v>
      </c>
      <c r="BG20" t="e">
        <f>AND(#REF!,"AAAAAC/7fTo=")</f>
        <v>#REF!</v>
      </c>
      <c r="BH20" t="e">
        <f>AND(#REF!,"AAAAAC/7fTs=")</f>
        <v>#REF!</v>
      </c>
      <c r="BI20" t="e">
        <f>AND(#REF!,"AAAAAC/7fTw=")</f>
        <v>#REF!</v>
      </c>
      <c r="BJ20" t="e">
        <f>AND(#REF!,"AAAAAC/7fT0=")</f>
        <v>#REF!</v>
      </c>
      <c r="BK20" t="e">
        <f>AND(#REF!,"AAAAAC/7fT4=")</f>
        <v>#REF!</v>
      </c>
      <c r="BL20" t="e">
        <f>AND(#REF!,"AAAAAC/7fT8=")</f>
        <v>#REF!</v>
      </c>
      <c r="BM20" t="e">
        <f>AND(#REF!,"AAAAAC/7fUA=")</f>
        <v>#REF!</v>
      </c>
      <c r="BN20" t="e">
        <f>AND(#REF!,"AAAAAC/7fUE=")</f>
        <v>#REF!</v>
      </c>
      <c r="BO20" t="e">
        <f>AND(#REF!,"AAAAAC/7fUI=")</f>
        <v>#REF!</v>
      </c>
      <c r="BP20" t="e">
        <f>AND(#REF!,"AAAAAC/7fUM=")</f>
        <v>#REF!</v>
      </c>
      <c r="BQ20" t="e">
        <f>AND(#REF!,"AAAAAC/7fUQ=")</f>
        <v>#REF!</v>
      </c>
      <c r="BR20" t="e">
        <f>AND(#REF!,"AAAAAC/7fUU=")</f>
        <v>#REF!</v>
      </c>
      <c r="BS20" t="e">
        <f>AND(#REF!,"AAAAAC/7fUY=")</f>
        <v>#REF!</v>
      </c>
      <c r="BT20" t="e">
        <f>AND(#REF!,"AAAAAC/7fUc=")</f>
        <v>#REF!</v>
      </c>
      <c r="BU20" t="e">
        <f>AND(#REF!,"AAAAAC/7fUg=")</f>
        <v>#REF!</v>
      </c>
      <c r="BV20" t="e">
        <f>AND(#REF!,"AAAAAC/7fUk=")</f>
        <v>#REF!</v>
      </c>
      <c r="BW20" t="e">
        <f>AND(#REF!,"AAAAAC/7fUo=")</f>
        <v>#REF!</v>
      </c>
      <c r="BX20" t="e">
        <f>AND(#REF!,"AAAAAC/7fUs=")</f>
        <v>#REF!</v>
      </c>
      <c r="BY20" t="e">
        <f>AND(#REF!,"AAAAAC/7fUw=")</f>
        <v>#REF!</v>
      </c>
      <c r="BZ20" t="e">
        <f>AND(#REF!,"AAAAAC/7fU0=")</f>
        <v>#REF!</v>
      </c>
      <c r="CA20" t="e">
        <f>AND(#REF!,"AAAAAC/7fU4=")</f>
        <v>#REF!</v>
      </c>
      <c r="CB20" t="e">
        <f>AND(#REF!,"AAAAAC/7fU8=")</f>
        <v>#REF!</v>
      </c>
      <c r="CC20" t="e">
        <f>AND(#REF!,"AAAAAC/7fVA=")</f>
        <v>#REF!</v>
      </c>
      <c r="CD20" t="e">
        <f>AND(#REF!,"AAAAAC/7fVE=")</f>
        <v>#REF!</v>
      </c>
      <c r="CE20" t="e">
        <f>AND(#REF!,"AAAAAC/7fVI=")</f>
        <v>#REF!</v>
      </c>
      <c r="CF20" t="e">
        <f>AND(#REF!,"AAAAAC/7fVM=")</f>
        <v>#REF!</v>
      </c>
      <c r="CG20" t="e">
        <f>AND(#REF!,"AAAAAC/7fVQ=")</f>
        <v>#REF!</v>
      </c>
      <c r="CH20" t="e">
        <f>AND(#REF!,"AAAAAC/7fVU=")</f>
        <v>#REF!</v>
      </c>
      <c r="CI20" t="e">
        <f>AND(#REF!,"AAAAAC/7fVY=")</f>
        <v>#REF!</v>
      </c>
      <c r="CJ20" t="e">
        <f>AND(#REF!,"AAAAAC/7fVc=")</f>
        <v>#REF!</v>
      </c>
      <c r="CK20" t="e">
        <f>AND(#REF!,"AAAAAC/7fVg=")</f>
        <v>#REF!</v>
      </c>
      <c r="CL20" t="e">
        <f>AND(#REF!,"AAAAAC/7fVk=")</f>
        <v>#REF!</v>
      </c>
      <c r="CM20" t="e">
        <f>AND(#REF!,"AAAAAC/7fVo=")</f>
        <v>#REF!</v>
      </c>
      <c r="CN20" t="e">
        <f>AND(#REF!,"AAAAAC/7fVs=")</f>
        <v>#REF!</v>
      </c>
      <c r="CO20" t="e">
        <f>AND(#REF!,"AAAAAC/7fVw=")</f>
        <v>#REF!</v>
      </c>
      <c r="CP20" t="e">
        <f>AND(#REF!,"AAAAAC/7fV0=")</f>
        <v>#REF!</v>
      </c>
      <c r="CQ20" t="e">
        <f>AND(#REF!,"AAAAAC/7fV4=")</f>
        <v>#REF!</v>
      </c>
      <c r="CR20" t="e">
        <f>AND(#REF!,"AAAAAC/7fV8=")</f>
        <v>#REF!</v>
      </c>
      <c r="CS20" t="e">
        <f>AND(#REF!,"AAAAAC/7fWA=")</f>
        <v>#REF!</v>
      </c>
      <c r="CT20" t="e">
        <f>AND(#REF!,"AAAAAC/7fWE=")</f>
        <v>#REF!</v>
      </c>
      <c r="CU20" t="e">
        <f>AND(#REF!,"AAAAAC/7fWI=")</f>
        <v>#REF!</v>
      </c>
      <c r="CV20" t="e">
        <f>AND(#REF!,"AAAAAC/7fWM=")</f>
        <v>#REF!</v>
      </c>
      <c r="CW20" t="e">
        <f>AND(#REF!,"AAAAAC/7fWQ=")</f>
        <v>#REF!</v>
      </c>
      <c r="CX20" t="e">
        <f>AND(#REF!,"AAAAAC/7fWU=")</f>
        <v>#REF!</v>
      </c>
      <c r="CY20" t="e">
        <f>AND(#REF!,"AAAAAC/7fWY=")</f>
        <v>#REF!</v>
      </c>
      <c r="CZ20" t="e">
        <f>AND(#REF!,"AAAAAC/7fWc=")</f>
        <v>#REF!</v>
      </c>
      <c r="DA20" t="e">
        <f>AND(#REF!,"AAAAAC/7fWg=")</f>
        <v>#REF!</v>
      </c>
      <c r="DB20" t="e">
        <f>AND(#REF!,"AAAAAC/7fWk=")</f>
        <v>#REF!</v>
      </c>
      <c r="DC20" t="e">
        <f>AND(#REF!,"AAAAAC/7fWo=")</f>
        <v>#REF!</v>
      </c>
      <c r="DD20" t="e">
        <f>AND(#REF!,"AAAAAC/7fWs=")</f>
        <v>#REF!</v>
      </c>
      <c r="DE20" t="e">
        <f>AND(#REF!,"AAAAAC/7fWw=")</f>
        <v>#REF!</v>
      </c>
      <c r="DF20" t="e">
        <f>AND(#REF!,"AAAAAC/7fW0=")</f>
        <v>#REF!</v>
      </c>
      <c r="DG20" t="e">
        <f>AND(#REF!,"AAAAAC/7fW4=")</f>
        <v>#REF!</v>
      </c>
      <c r="DH20" t="e">
        <f>AND(#REF!,"AAAAAC/7fW8=")</f>
        <v>#REF!</v>
      </c>
      <c r="DI20" t="e">
        <f>AND(#REF!,"AAAAAC/7fXA=")</f>
        <v>#REF!</v>
      </c>
      <c r="DJ20" t="e">
        <f>AND(#REF!,"AAAAAC/7fXE=")</f>
        <v>#REF!</v>
      </c>
      <c r="DK20" t="e">
        <f>AND(#REF!,"AAAAAC/7fXI=")</f>
        <v>#REF!</v>
      </c>
      <c r="DL20" t="e">
        <f>AND(#REF!,"AAAAAC/7fXM=")</f>
        <v>#REF!</v>
      </c>
      <c r="DM20" t="e">
        <f>AND(#REF!,"AAAAAC/7fXQ=")</f>
        <v>#REF!</v>
      </c>
      <c r="DN20" t="e">
        <f>AND(#REF!,"AAAAAC/7fXU=")</f>
        <v>#REF!</v>
      </c>
      <c r="DO20" t="e">
        <f>AND(#REF!,"AAAAAC/7fXY=")</f>
        <v>#REF!</v>
      </c>
      <c r="DP20" t="e">
        <f>AND(#REF!,"AAAAAC/7fXc=")</f>
        <v>#REF!</v>
      </c>
      <c r="DQ20" t="e">
        <f>AND(#REF!,"AAAAAC/7fXg=")</f>
        <v>#REF!</v>
      </c>
      <c r="DR20" t="e">
        <f>AND(#REF!,"AAAAAC/7fXk=")</f>
        <v>#REF!</v>
      </c>
      <c r="DS20" t="e">
        <f>AND(#REF!,"AAAAAC/7fXo=")</f>
        <v>#REF!</v>
      </c>
      <c r="DT20" t="e">
        <f>AND(#REF!,"AAAAAC/7fXs=")</f>
        <v>#REF!</v>
      </c>
      <c r="DU20" t="e">
        <f>AND(#REF!,"AAAAAC/7fXw=")</f>
        <v>#REF!</v>
      </c>
      <c r="DV20" t="e">
        <f>AND(#REF!,"AAAAAC/7fX0=")</f>
        <v>#REF!</v>
      </c>
      <c r="DW20" t="e">
        <f>AND(#REF!,"AAAAAC/7fX4=")</f>
        <v>#REF!</v>
      </c>
      <c r="DX20" t="e">
        <f>AND(#REF!,"AAAAAC/7fX8=")</f>
        <v>#REF!</v>
      </c>
      <c r="DY20" t="e">
        <f>AND(#REF!,"AAAAAC/7fYA=")</f>
        <v>#REF!</v>
      </c>
      <c r="DZ20" t="e">
        <f>AND(#REF!,"AAAAAC/7fYE=")</f>
        <v>#REF!</v>
      </c>
      <c r="EA20" t="e">
        <f>AND(#REF!,"AAAAAC/7fYI=")</f>
        <v>#REF!</v>
      </c>
      <c r="EB20" t="e">
        <f>AND(#REF!,"AAAAAC/7fYM=")</f>
        <v>#REF!</v>
      </c>
      <c r="EC20" t="e">
        <f>AND(#REF!,"AAAAAC/7fYQ=")</f>
        <v>#REF!</v>
      </c>
      <c r="ED20" t="e">
        <f>AND(#REF!,"AAAAAC/7fYU=")</f>
        <v>#REF!</v>
      </c>
      <c r="EE20" t="e">
        <f>AND(#REF!,"AAAAAC/7fYY=")</f>
        <v>#REF!</v>
      </c>
      <c r="EF20" t="e">
        <f>AND(#REF!,"AAAAAC/7fYc=")</f>
        <v>#REF!</v>
      </c>
      <c r="EG20" t="e">
        <f>AND(#REF!,"AAAAAC/7fYg=")</f>
        <v>#REF!</v>
      </c>
      <c r="EH20" t="e">
        <f>AND(#REF!,"AAAAAC/7fYk=")</f>
        <v>#REF!</v>
      </c>
      <c r="EI20" t="e">
        <f>AND(#REF!,"AAAAAC/7fYo=")</f>
        <v>#REF!</v>
      </c>
      <c r="EJ20" t="e">
        <f>AND(#REF!,"AAAAAC/7fYs=")</f>
        <v>#REF!</v>
      </c>
      <c r="EK20" t="e">
        <f>AND(#REF!,"AAAAAC/7fYw=")</f>
        <v>#REF!</v>
      </c>
      <c r="EL20" t="e">
        <f>AND(#REF!,"AAAAAC/7fY0=")</f>
        <v>#REF!</v>
      </c>
      <c r="EM20" t="e">
        <f>AND(#REF!,"AAAAAC/7fY4=")</f>
        <v>#REF!</v>
      </c>
      <c r="EN20" t="e">
        <f>AND(#REF!,"AAAAAC/7fY8=")</f>
        <v>#REF!</v>
      </c>
      <c r="EO20" t="e">
        <f>AND(#REF!,"AAAAAC/7fZA=")</f>
        <v>#REF!</v>
      </c>
      <c r="EP20" t="e">
        <f>AND(#REF!,"AAAAAC/7fZE=")</f>
        <v>#REF!</v>
      </c>
      <c r="EQ20" t="e">
        <f>AND(#REF!,"AAAAAC/7fZI=")</f>
        <v>#REF!</v>
      </c>
      <c r="ER20" t="e">
        <f>AND(#REF!,"AAAAAC/7fZM=")</f>
        <v>#REF!</v>
      </c>
      <c r="ES20" t="e">
        <f>AND(#REF!,"AAAAAC/7fZQ=")</f>
        <v>#REF!</v>
      </c>
      <c r="ET20" t="e">
        <f>AND(#REF!,"AAAAAC/7fZU=")</f>
        <v>#REF!</v>
      </c>
      <c r="EU20" t="e">
        <f>AND(#REF!,"AAAAAC/7fZY=")</f>
        <v>#REF!</v>
      </c>
      <c r="EV20" t="e">
        <f>AND(#REF!,"AAAAAC/7fZc=")</f>
        <v>#REF!</v>
      </c>
      <c r="EW20" t="e">
        <f>AND(#REF!,"AAAAAC/7fZg=")</f>
        <v>#REF!</v>
      </c>
      <c r="EX20" t="e">
        <f>AND(#REF!,"AAAAAC/7fZk=")</f>
        <v>#REF!</v>
      </c>
      <c r="EY20" t="e">
        <f>AND(#REF!,"AAAAAC/7fZo=")</f>
        <v>#REF!</v>
      </c>
      <c r="EZ20" t="e">
        <f>AND(#REF!,"AAAAAC/7fZs=")</f>
        <v>#REF!</v>
      </c>
      <c r="FA20" t="e">
        <f>AND(#REF!,"AAAAAC/7fZw=")</f>
        <v>#REF!</v>
      </c>
      <c r="FB20" t="e">
        <f>AND(#REF!,"AAAAAC/7fZ0=")</f>
        <v>#REF!</v>
      </c>
      <c r="FC20" t="e">
        <f>AND(#REF!,"AAAAAC/7fZ4=")</f>
        <v>#REF!</v>
      </c>
      <c r="FD20" t="e">
        <f>AND(#REF!,"AAAAAC/7fZ8=")</f>
        <v>#REF!</v>
      </c>
      <c r="FE20" t="e">
        <f>AND(#REF!,"AAAAAC/7faA=")</f>
        <v>#REF!</v>
      </c>
      <c r="FF20" t="e">
        <f>AND(#REF!,"AAAAAC/7faE=")</f>
        <v>#REF!</v>
      </c>
      <c r="FG20" t="e">
        <f>AND(#REF!,"AAAAAC/7faI=")</f>
        <v>#REF!</v>
      </c>
      <c r="FH20" t="e">
        <f>AND(#REF!,"AAAAAC/7faM=")</f>
        <v>#REF!</v>
      </c>
      <c r="FI20" t="e">
        <f>AND(#REF!,"AAAAAC/7faQ=")</f>
        <v>#REF!</v>
      </c>
      <c r="FJ20" t="e">
        <f>AND(#REF!,"AAAAAC/7faU=")</f>
        <v>#REF!</v>
      </c>
      <c r="FK20" t="e">
        <f>AND(#REF!,"AAAAAC/7faY=")</f>
        <v>#REF!</v>
      </c>
      <c r="FL20" t="e">
        <f>AND(#REF!,"AAAAAC/7fac=")</f>
        <v>#REF!</v>
      </c>
      <c r="FM20" t="e">
        <f>AND(#REF!,"AAAAAC/7fag=")</f>
        <v>#REF!</v>
      </c>
      <c r="FN20" t="e">
        <f>AND(#REF!,"AAAAAC/7fak=")</f>
        <v>#REF!</v>
      </c>
      <c r="FO20" t="e">
        <f>AND(#REF!,"AAAAAC/7fao=")</f>
        <v>#REF!</v>
      </c>
      <c r="FP20" t="e">
        <f>AND(#REF!,"AAAAAC/7fas=")</f>
        <v>#REF!</v>
      </c>
      <c r="FQ20" t="e">
        <f>AND(#REF!,"AAAAAC/7faw=")</f>
        <v>#REF!</v>
      </c>
      <c r="FR20" t="e">
        <f>AND(#REF!,"AAAAAC/7fa0=")</f>
        <v>#REF!</v>
      </c>
      <c r="FS20" t="e">
        <f>AND(#REF!,"AAAAAC/7fa4=")</f>
        <v>#REF!</v>
      </c>
      <c r="FT20" t="e">
        <f>AND(#REF!,"AAAAAC/7fa8=")</f>
        <v>#REF!</v>
      </c>
      <c r="FU20" t="e">
        <f>AND(#REF!,"AAAAAC/7fbA=")</f>
        <v>#REF!</v>
      </c>
      <c r="FV20" t="e">
        <f>AND(#REF!,"AAAAAC/7fbE=")</f>
        <v>#REF!</v>
      </c>
      <c r="FW20" t="e">
        <f>AND(#REF!,"AAAAAC/7fbI=")</f>
        <v>#REF!</v>
      </c>
      <c r="FX20" t="e">
        <f>AND(#REF!,"AAAAAC/7fbM=")</f>
        <v>#REF!</v>
      </c>
      <c r="FY20" t="e">
        <f>AND(#REF!,"AAAAAC/7fbQ=")</f>
        <v>#REF!</v>
      </c>
      <c r="FZ20" t="e">
        <f>AND(#REF!,"AAAAAC/7fbU=")</f>
        <v>#REF!</v>
      </c>
      <c r="GA20" t="e">
        <f>AND(#REF!,"AAAAAC/7fbY=")</f>
        <v>#REF!</v>
      </c>
      <c r="GB20" t="e">
        <f>AND(#REF!,"AAAAAC/7fbc=")</f>
        <v>#REF!</v>
      </c>
      <c r="GC20" t="e">
        <f>AND(#REF!,"AAAAAC/7fbg=")</f>
        <v>#REF!</v>
      </c>
      <c r="GD20" t="e">
        <f>AND(#REF!,"AAAAAC/7fbk=")</f>
        <v>#REF!</v>
      </c>
      <c r="GE20" t="e">
        <f>AND(#REF!,"AAAAAC/7fbo=")</f>
        <v>#REF!</v>
      </c>
      <c r="GF20" t="e">
        <f>AND(#REF!,"AAAAAC/7fbs=")</f>
        <v>#REF!</v>
      </c>
      <c r="GG20" t="e">
        <f>AND(#REF!,"AAAAAC/7fbw=")</f>
        <v>#REF!</v>
      </c>
      <c r="GH20" t="e">
        <f>AND(#REF!,"AAAAAC/7fb0=")</f>
        <v>#REF!</v>
      </c>
      <c r="GI20" t="e">
        <f>AND(#REF!,"AAAAAC/7fb4=")</f>
        <v>#REF!</v>
      </c>
      <c r="GJ20" t="e">
        <f>AND(#REF!,"AAAAAC/7fb8=")</f>
        <v>#REF!</v>
      </c>
      <c r="GK20" t="e">
        <f>AND(#REF!,"AAAAAC/7fcA=")</f>
        <v>#REF!</v>
      </c>
      <c r="GL20" t="e">
        <f>AND(#REF!,"AAAAAC/7fcE=")</f>
        <v>#REF!</v>
      </c>
      <c r="GM20" t="e">
        <f>AND(#REF!,"AAAAAC/7fcI=")</f>
        <v>#REF!</v>
      </c>
      <c r="GN20" t="e">
        <f>AND(#REF!,"AAAAAC/7fcM=")</f>
        <v>#REF!</v>
      </c>
      <c r="GO20" t="e">
        <f>AND(#REF!,"AAAAAC/7fcQ=")</f>
        <v>#REF!</v>
      </c>
      <c r="GP20" t="e">
        <f>AND(#REF!,"AAAAAC/7fcU=")</f>
        <v>#REF!</v>
      </c>
      <c r="GQ20" t="e">
        <f>AND(#REF!,"AAAAAC/7fcY=")</f>
        <v>#REF!</v>
      </c>
      <c r="GR20" t="e">
        <f>AND(#REF!,"AAAAAC/7fcc=")</f>
        <v>#REF!</v>
      </c>
      <c r="GS20" t="e">
        <f>AND(#REF!,"AAAAAC/7fcg=")</f>
        <v>#REF!</v>
      </c>
      <c r="GT20" t="e">
        <f>AND(#REF!,"AAAAAC/7fck=")</f>
        <v>#REF!</v>
      </c>
      <c r="GU20" t="e">
        <f>AND(#REF!,"AAAAAC/7fco=")</f>
        <v>#REF!</v>
      </c>
      <c r="GV20" t="e">
        <f>AND(#REF!,"AAAAAC/7fcs=")</f>
        <v>#REF!</v>
      </c>
      <c r="GW20" t="e">
        <f>AND(#REF!,"AAAAAC/7fcw=")</f>
        <v>#REF!</v>
      </c>
      <c r="GX20" t="e">
        <f>AND(#REF!,"AAAAAC/7fc0=")</f>
        <v>#REF!</v>
      </c>
      <c r="GY20" t="e">
        <f>AND(#REF!,"AAAAAC/7fc4=")</f>
        <v>#REF!</v>
      </c>
      <c r="GZ20" t="e">
        <f>AND(#REF!,"AAAAAC/7fc8=")</f>
        <v>#REF!</v>
      </c>
      <c r="HA20" t="e">
        <f>AND(#REF!,"AAAAAC/7fdA=")</f>
        <v>#REF!</v>
      </c>
      <c r="HB20" t="e">
        <f>AND(#REF!,"AAAAAC/7fdE=")</f>
        <v>#REF!</v>
      </c>
      <c r="HC20" t="e">
        <f>AND(#REF!,"AAAAAC/7fdI=")</f>
        <v>#REF!</v>
      </c>
      <c r="HD20" t="e">
        <f>AND(#REF!,"AAAAAC/7fdM=")</f>
        <v>#REF!</v>
      </c>
      <c r="HE20" t="e">
        <f>AND(#REF!,"AAAAAC/7fdQ=")</f>
        <v>#REF!</v>
      </c>
      <c r="HF20" t="e">
        <f>AND(#REF!,"AAAAAC/7fdU=")</f>
        <v>#REF!</v>
      </c>
      <c r="HG20" t="e">
        <f>AND(#REF!,"AAAAAC/7fdY=")</f>
        <v>#REF!</v>
      </c>
      <c r="HH20" t="e">
        <f>AND(#REF!,"AAAAAC/7fdc=")</f>
        <v>#REF!</v>
      </c>
      <c r="HI20" t="e">
        <f>AND(#REF!,"AAAAAC/7fdg=")</f>
        <v>#REF!</v>
      </c>
      <c r="HJ20" t="e">
        <f>AND(#REF!,"AAAAAC/7fdk=")</f>
        <v>#REF!</v>
      </c>
      <c r="HK20" t="e">
        <f>AND(#REF!,"AAAAAC/7fdo=")</f>
        <v>#REF!</v>
      </c>
      <c r="HL20" t="e">
        <f>AND(#REF!,"AAAAAC/7fds=")</f>
        <v>#REF!</v>
      </c>
      <c r="HM20" t="e">
        <f>AND(#REF!,"AAAAAC/7fdw=")</f>
        <v>#REF!</v>
      </c>
      <c r="HN20" t="e">
        <f>AND(#REF!,"AAAAAC/7fd0=")</f>
        <v>#REF!</v>
      </c>
      <c r="HO20" t="e">
        <f>AND(#REF!,"AAAAAC/7fd4=")</f>
        <v>#REF!</v>
      </c>
      <c r="HP20" t="e">
        <f>AND(#REF!,"AAAAAC/7fd8=")</f>
        <v>#REF!</v>
      </c>
      <c r="HQ20" t="e">
        <f>AND(#REF!,"AAAAAC/7feA=")</f>
        <v>#REF!</v>
      </c>
      <c r="HR20" t="e">
        <f>AND(#REF!,"AAAAAC/7feE=")</f>
        <v>#REF!</v>
      </c>
      <c r="HS20" t="e">
        <f>AND(#REF!,"AAAAAC/7feI=")</f>
        <v>#REF!</v>
      </c>
      <c r="HT20" t="e">
        <f>AND(#REF!,"AAAAAC/7feM=")</f>
        <v>#REF!</v>
      </c>
      <c r="HU20" t="e">
        <f>AND(#REF!,"AAAAAC/7feQ=")</f>
        <v>#REF!</v>
      </c>
      <c r="HV20" t="e">
        <f>AND(#REF!,"AAAAAC/7feU=")</f>
        <v>#REF!</v>
      </c>
      <c r="HW20" t="e">
        <f>AND(#REF!,"AAAAAC/7feY=")</f>
        <v>#REF!</v>
      </c>
      <c r="HX20" t="e">
        <f>AND(#REF!,"AAAAAC/7fec=")</f>
        <v>#REF!</v>
      </c>
      <c r="HY20" t="e">
        <f>AND(#REF!,"AAAAAC/7feg=")</f>
        <v>#REF!</v>
      </c>
      <c r="HZ20" t="e">
        <f>AND(#REF!,"AAAAAC/7fek=")</f>
        <v>#REF!</v>
      </c>
      <c r="IA20" t="e">
        <f>AND(#REF!,"AAAAAC/7feo=")</f>
        <v>#REF!</v>
      </c>
      <c r="IB20" t="e">
        <f>AND(#REF!,"AAAAAC/7fes=")</f>
        <v>#REF!</v>
      </c>
      <c r="IC20" t="e">
        <f>AND(#REF!,"AAAAAC/7few=")</f>
        <v>#REF!</v>
      </c>
      <c r="ID20" t="e">
        <f>AND(#REF!,"AAAAAC/7fe0=")</f>
        <v>#REF!</v>
      </c>
      <c r="IE20" t="e">
        <f>AND(#REF!,"AAAAAC/7fe4=")</f>
        <v>#REF!</v>
      </c>
      <c r="IF20" t="e">
        <f>AND(#REF!,"AAAAAC/7fe8=")</f>
        <v>#REF!</v>
      </c>
      <c r="IG20" t="e">
        <f>AND(#REF!,"AAAAAC/7ffA=")</f>
        <v>#REF!</v>
      </c>
      <c r="IH20" t="e">
        <f>AND(#REF!,"AAAAAC/7ffE=")</f>
        <v>#REF!</v>
      </c>
      <c r="II20" t="e">
        <f>AND(#REF!,"AAAAAC/7ffI=")</f>
        <v>#REF!</v>
      </c>
      <c r="IJ20" t="e">
        <f>AND(#REF!,"AAAAAC/7ffM=")</f>
        <v>#REF!</v>
      </c>
      <c r="IK20" t="e">
        <f>AND(#REF!,"AAAAAC/7ffQ=")</f>
        <v>#REF!</v>
      </c>
      <c r="IL20" t="e">
        <f>AND(#REF!,"AAAAAC/7ffU=")</f>
        <v>#REF!</v>
      </c>
      <c r="IM20" t="e">
        <f>AND(#REF!,"AAAAAC/7ffY=")</f>
        <v>#REF!</v>
      </c>
      <c r="IN20" t="e">
        <f>AND(#REF!,"AAAAAC/7ffc=")</f>
        <v>#REF!</v>
      </c>
      <c r="IO20" t="e">
        <f>AND(#REF!,"AAAAAC/7ffg=")</f>
        <v>#REF!</v>
      </c>
      <c r="IP20" t="e">
        <f>AND(#REF!,"AAAAAC/7ffk=")</f>
        <v>#REF!</v>
      </c>
      <c r="IQ20" t="e">
        <f>AND(#REF!,"AAAAAC/7ffo=")</f>
        <v>#REF!</v>
      </c>
      <c r="IR20" t="e">
        <f>AND(#REF!,"AAAAAC/7ffs=")</f>
        <v>#REF!</v>
      </c>
      <c r="IS20" t="e">
        <f>AND(#REF!,"AAAAAC/7ffw=")</f>
        <v>#REF!</v>
      </c>
      <c r="IT20" t="e">
        <f>AND(#REF!,"AAAAAC/7ff0=")</f>
        <v>#REF!</v>
      </c>
      <c r="IU20" t="e">
        <f>AND(#REF!,"AAAAAC/7ff4=")</f>
        <v>#REF!</v>
      </c>
      <c r="IV20" t="e">
        <f>AND(#REF!,"AAAAAC/7ff8=")</f>
        <v>#REF!</v>
      </c>
    </row>
    <row r="21" spans="1:256" x14ac:dyDescent="0.25">
      <c r="A21" t="e">
        <f>AND(#REF!,"AAAAAG/tnwA=")</f>
        <v>#REF!</v>
      </c>
      <c r="B21" t="e">
        <f>AND(#REF!,"AAAAAG/tnwE=")</f>
        <v>#REF!</v>
      </c>
      <c r="C21" t="e">
        <f>AND(#REF!,"AAAAAG/tnwI=")</f>
        <v>#REF!</v>
      </c>
      <c r="D21" t="e">
        <f>AND(#REF!,"AAAAAG/tnwM=")</f>
        <v>#REF!</v>
      </c>
      <c r="E21" t="e">
        <f>AND(#REF!,"AAAAAG/tnwQ=")</f>
        <v>#REF!</v>
      </c>
      <c r="F21" t="e">
        <f>AND(#REF!,"AAAAAG/tnwU=")</f>
        <v>#REF!</v>
      </c>
      <c r="G21" t="e">
        <f>AND(#REF!,"AAAAAG/tnwY=")</f>
        <v>#REF!</v>
      </c>
      <c r="H21" t="e">
        <f>AND(#REF!,"AAAAAG/tnwc=")</f>
        <v>#REF!</v>
      </c>
      <c r="I21" t="e">
        <f>AND(#REF!,"AAAAAG/tnwg=")</f>
        <v>#REF!</v>
      </c>
      <c r="J21" t="e">
        <f>AND(#REF!,"AAAAAG/tnwk=")</f>
        <v>#REF!</v>
      </c>
      <c r="K21" t="e">
        <f>AND(#REF!,"AAAAAG/tnwo=")</f>
        <v>#REF!</v>
      </c>
      <c r="L21" t="e">
        <f>AND(#REF!,"AAAAAG/tnws=")</f>
        <v>#REF!</v>
      </c>
      <c r="M21" t="e">
        <f>AND(#REF!,"AAAAAG/tnww=")</f>
        <v>#REF!</v>
      </c>
      <c r="N21" t="e">
        <f>IF(#REF!,"AAAAAG/tnw0=",0)</f>
        <v>#REF!</v>
      </c>
      <c r="O21" t="e">
        <f>AND(#REF!,"AAAAAG/tnw4=")</f>
        <v>#REF!</v>
      </c>
      <c r="P21" t="e">
        <f>AND(#REF!,"AAAAAG/tnw8=")</f>
        <v>#REF!</v>
      </c>
      <c r="Q21" t="e">
        <f>AND(#REF!,"AAAAAG/tnxA=")</f>
        <v>#REF!</v>
      </c>
      <c r="R21" t="e">
        <f>AND(#REF!,"AAAAAG/tnxE=")</f>
        <v>#REF!</v>
      </c>
      <c r="S21" t="e">
        <f>AND(#REF!,"AAAAAG/tnxI=")</f>
        <v>#REF!</v>
      </c>
      <c r="T21" t="e">
        <f>AND(#REF!,"AAAAAG/tnxM=")</f>
        <v>#REF!</v>
      </c>
      <c r="U21" t="e">
        <f>AND(#REF!,"AAAAAG/tnxQ=")</f>
        <v>#REF!</v>
      </c>
      <c r="V21" t="e">
        <f>AND(#REF!,"AAAAAG/tnxU=")</f>
        <v>#REF!</v>
      </c>
      <c r="W21" t="e">
        <f>AND(#REF!,"AAAAAG/tnxY=")</f>
        <v>#REF!</v>
      </c>
      <c r="X21" t="e">
        <f>AND(#REF!,"AAAAAG/tnxc=")</f>
        <v>#REF!</v>
      </c>
      <c r="Y21" t="e">
        <f>AND(#REF!,"AAAAAG/tnxg=")</f>
        <v>#REF!</v>
      </c>
      <c r="Z21" t="e">
        <f>AND(#REF!,"AAAAAG/tnxk=")</f>
        <v>#REF!</v>
      </c>
      <c r="AA21" t="e">
        <f>AND(#REF!,"AAAAAG/tnxo=")</f>
        <v>#REF!</v>
      </c>
      <c r="AB21" t="e">
        <f>AND(#REF!,"AAAAAG/tnxs=")</f>
        <v>#REF!</v>
      </c>
      <c r="AC21" t="e">
        <f>AND(#REF!,"AAAAAG/tnxw=")</f>
        <v>#REF!</v>
      </c>
      <c r="AD21" t="e">
        <f>AND(#REF!,"AAAAAG/tnx0=")</f>
        <v>#REF!</v>
      </c>
      <c r="AE21" t="e">
        <f>AND(#REF!,"AAAAAG/tnx4=")</f>
        <v>#REF!</v>
      </c>
      <c r="AF21" t="e">
        <f>AND(#REF!,"AAAAAG/tnx8=")</f>
        <v>#REF!</v>
      </c>
      <c r="AG21" t="e">
        <f>AND(#REF!,"AAAAAG/tnyA=")</f>
        <v>#REF!</v>
      </c>
      <c r="AH21" t="e">
        <f>AND(#REF!,"AAAAAG/tnyE=")</f>
        <v>#REF!</v>
      </c>
      <c r="AI21" t="e">
        <f>AND(#REF!,"AAAAAG/tnyI=")</f>
        <v>#REF!</v>
      </c>
      <c r="AJ21" t="e">
        <f>AND(#REF!,"AAAAAG/tnyM=")</f>
        <v>#REF!</v>
      </c>
      <c r="AK21" t="e">
        <f>AND(#REF!,"AAAAAG/tnyQ=")</f>
        <v>#REF!</v>
      </c>
      <c r="AL21" t="e">
        <f>AND(#REF!,"AAAAAG/tnyU=")</f>
        <v>#REF!</v>
      </c>
      <c r="AM21" t="e">
        <f>AND(#REF!,"AAAAAG/tnyY=")</f>
        <v>#REF!</v>
      </c>
      <c r="AN21" t="e">
        <f>AND(#REF!,"AAAAAG/tnyc=")</f>
        <v>#REF!</v>
      </c>
      <c r="AO21" t="e">
        <f>AND(#REF!,"AAAAAG/tnyg=")</f>
        <v>#REF!</v>
      </c>
      <c r="AP21" t="e">
        <f>AND(#REF!,"AAAAAG/tnyk=")</f>
        <v>#REF!</v>
      </c>
      <c r="AQ21" t="e">
        <f>AND(#REF!,"AAAAAG/tnyo=")</f>
        <v>#REF!</v>
      </c>
      <c r="AR21" t="e">
        <f>AND(#REF!,"AAAAAG/tnys=")</f>
        <v>#REF!</v>
      </c>
      <c r="AS21" t="e">
        <f>AND(#REF!,"AAAAAG/tnyw=")</f>
        <v>#REF!</v>
      </c>
      <c r="AT21" t="e">
        <f>AND(#REF!,"AAAAAG/tny0=")</f>
        <v>#REF!</v>
      </c>
      <c r="AU21" t="e">
        <f>AND(#REF!,"AAAAAG/tny4=")</f>
        <v>#REF!</v>
      </c>
      <c r="AV21" t="e">
        <f>AND(#REF!,"AAAAAG/tny8=")</f>
        <v>#REF!</v>
      </c>
      <c r="AW21" t="e">
        <f>AND(#REF!,"AAAAAG/tnzA=")</f>
        <v>#REF!</v>
      </c>
      <c r="AX21" t="e">
        <f>AND(#REF!,"AAAAAG/tnzE=")</f>
        <v>#REF!</v>
      </c>
      <c r="AY21" t="e">
        <f>AND(#REF!,"AAAAAG/tnzI=")</f>
        <v>#REF!</v>
      </c>
      <c r="AZ21" t="e">
        <f>AND(#REF!,"AAAAAG/tnzM=")</f>
        <v>#REF!</v>
      </c>
      <c r="BA21" t="e">
        <f>AND(#REF!,"AAAAAG/tnzQ=")</f>
        <v>#REF!</v>
      </c>
      <c r="BB21" t="e">
        <f>AND(#REF!,"AAAAAG/tnzU=")</f>
        <v>#REF!</v>
      </c>
      <c r="BC21" t="e">
        <f>AND(#REF!,"AAAAAG/tnzY=")</f>
        <v>#REF!</v>
      </c>
      <c r="BD21" t="e">
        <f>AND(#REF!,"AAAAAG/tnzc=")</f>
        <v>#REF!</v>
      </c>
      <c r="BE21" t="e">
        <f>AND(#REF!,"AAAAAG/tnzg=")</f>
        <v>#REF!</v>
      </c>
      <c r="BF21" t="e">
        <f>AND(#REF!,"AAAAAG/tnzk=")</f>
        <v>#REF!</v>
      </c>
      <c r="BG21" t="e">
        <f>AND(#REF!,"AAAAAG/tnzo=")</f>
        <v>#REF!</v>
      </c>
      <c r="BH21" t="e">
        <f>AND(#REF!,"AAAAAG/tnzs=")</f>
        <v>#REF!</v>
      </c>
      <c r="BI21" t="e">
        <f>AND(#REF!,"AAAAAG/tnzw=")</f>
        <v>#REF!</v>
      </c>
      <c r="BJ21" t="e">
        <f>AND(#REF!,"AAAAAG/tnz0=")</f>
        <v>#REF!</v>
      </c>
      <c r="BK21" t="e">
        <f>AND(#REF!,"AAAAAG/tnz4=")</f>
        <v>#REF!</v>
      </c>
      <c r="BL21" t="e">
        <f>AND(#REF!,"AAAAAG/tnz8=")</f>
        <v>#REF!</v>
      </c>
      <c r="BM21" t="e">
        <f>AND(#REF!,"AAAAAG/tn0A=")</f>
        <v>#REF!</v>
      </c>
      <c r="BN21" t="e">
        <f>AND(#REF!,"AAAAAG/tn0E=")</f>
        <v>#REF!</v>
      </c>
      <c r="BO21" t="e">
        <f>AND(#REF!,"AAAAAG/tn0I=")</f>
        <v>#REF!</v>
      </c>
      <c r="BP21" t="e">
        <f>AND(#REF!,"AAAAAG/tn0M=")</f>
        <v>#REF!</v>
      </c>
      <c r="BQ21" t="e">
        <f>AND(#REF!,"AAAAAG/tn0Q=")</f>
        <v>#REF!</v>
      </c>
      <c r="BR21" t="e">
        <f>AND(#REF!,"AAAAAG/tn0U=")</f>
        <v>#REF!</v>
      </c>
      <c r="BS21" t="e">
        <f>AND(#REF!,"AAAAAG/tn0Y=")</f>
        <v>#REF!</v>
      </c>
      <c r="BT21" t="e">
        <f>AND(#REF!,"AAAAAG/tn0c=")</f>
        <v>#REF!</v>
      </c>
      <c r="BU21" t="e">
        <f>AND(#REF!,"AAAAAG/tn0g=")</f>
        <v>#REF!</v>
      </c>
      <c r="BV21" t="e">
        <f>AND(#REF!,"AAAAAG/tn0k=")</f>
        <v>#REF!</v>
      </c>
      <c r="BW21" t="e">
        <f>AND(#REF!,"AAAAAG/tn0o=")</f>
        <v>#REF!</v>
      </c>
      <c r="BX21" t="e">
        <f>AND(#REF!,"AAAAAG/tn0s=")</f>
        <v>#REF!</v>
      </c>
      <c r="BY21" t="e">
        <f>AND(#REF!,"AAAAAG/tn0w=")</f>
        <v>#REF!</v>
      </c>
      <c r="BZ21" t="e">
        <f>AND(#REF!,"AAAAAG/tn00=")</f>
        <v>#REF!</v>
      </c>
      <c r="CA21" t="e">
        <f>AND(#REF!,"AAAAAG/tn04=")</f>
        <v>#REF!</v>
      </c>
      <c r="CB21" t="e">
        <f>AND(#REF!,"AAAAAG/tn08=")</f>
        <v>#REF!</v>
      </c>
      <c r="CC21" t="e">
        <f>AND(#REF!,"AAAAAG/tn1A=")</f>
        <v>#REF!</v>
      </c>
      <c r="CD21" t="e">
        <f>AND(#REF!,"AAAAAG/tn1E=")</f>
        <v>#REF!</v>
      </c>
      <c r="CE21" t="e">
        <f>AND(#REF!,"AAAAAG/tn1I=")</f>
        <v>#REF!</v>
      </c>
      <c r="CF21" t="e">
        <f>AND(#REF!,"AAAAAG/tn1M=")</f>
        <v>#REF!</v>
      </c>
      <c r="CG21" t="e">
        <f>AND(#REF!,"AAAAAG/tn1Q=")</f>
        <v>#REF!</v>
      </c>
      <c r="CH21" t="e">
        <f>AND(#REF!,"AAAAAG/tn1U=")</f>
        <v>#REF!</v>
      </c>
      <c r="CI21" t="e">
        <f>AND(#REF!,"AAAAAG/tn1Y=")</f>
        <v>#REF!</v>
      </c>
      <c r="CJ21" t="e">
        <f>AND(#REF!,"AAAAAG/tn1c=")</f>
        <v>#REF!</v>
      </c>
      <c r="CK21" t="e">
        <f>AND(#REF!,"AAAAAG/tn1g=")</f>
        <v>#REF!</v>
      </c>
      <c r="CL21" t="e">
        <f>AND(#REF!,"AAAAAG/tn1k=")</f>
        <v>#REF!</v>
      </c>
      <c r="CM21" t="e">
        <f>AND(#REF!,"AAAAAG/tn1o=")</f>
        <v>#REF!</v>
      </c>
      <c r="CN21" t="e">
        <f>AND(#REF!,"AAAAAG/tn1s=")</f>
        <v>#REF!</v>
      </c>
      <c r="CO21" t="e">
        <f>AND(#REF!,"AAAAAG/tn1w=")</f>
        <v>#REF!</v>
      </c>
      <c r="CP21" t="e">
        <f>AND(#REF!,"AAAAAG/tn10=")</f>
        <v>#REF!</v>
      </c>
      <c r="CQ21" t="e">
        <f>AND(#REF!,"AAAAAG/tn14=")</f>
        <v>#REF!</v>
      </c>
      <c r="CR21" t="e">
        <f>AND(#REF!,"AAAAAG/tn18=")</f>
        <v>#REF!</v>
      </c>
      <c r="CS21" t="e">
        <f>AND(#REF!,"AAAAAG/tn2A=")</f>
        <v>#REF!</v>
      </c>
      <c r="CT21" t="e">
        <f>AND(#REF!,"AAAAAG/tn2E=")</f>
        <v>#REF!</v>
      </c>
      <c r="CU21" t="e">
        <f>AND(#REF!,"AAAAAG/tn2I=")</f>
        <v>#REF!</v>
      </c>
      <c r="CV21" t="e">
        <f>AND(#REF!,"AAAAAG/tn2M=")</f>
        <v>#REF!</v>
      </c>
      <c r="CW21" t="e">
        <f>AND(#REF!,"AAAAAG/tn2Q=")</f>
        <v>#REF!</v>
      </c>
      <c r="CX21" t="e">
        <f>AND(#REF!,"AAAAAG/tn2U=")</f>
        <v>#REF!</v>
      </c>
      <c r="CY21" t="e">
        <f>AND(#REF!,"AAAAAG/tn2Y=")</f>
        <v>#REF!</v>
      </c>
      <c r="CZ21" t="e">
        <f>AND(#REF!,"AAAAAG/tn2c=")</f>
        <v>#REF!</v>
      </c>
      <c r="DA21" t="e">
        <f>AND(#REF!,"AAAAAG/tn2g=")</f>
        <v>#REF!</v>
      </c>
      <c r="DB21" t="e">
        <f>AND(#REF!,"AAAAAG/tn2k=")</f>
        <v>#REF!</v>
      </c>
      <c r="DC21" t="e">
        <f>AND(#REF!,"AAAAAG/tn2o=")</f>
        <v>#REF!</v>
      </c>
      <c r="DD21" t="e">
        <f>AND(#REF!,"AAAAAG/tn2s=")</f>
        <v>#REF!</v>
      </c>
      <c r="DE21" t="e">
        <f>AND(#REF!,"AAAAAG/tn2w=")</f>
        <v>#REF!</v>
      </c>
      <c r="DF21" t="e">
        <f>AND(#REF!,"AAAAAG/tn20=")</f>
        <v>#REF!</v>
      </c>
      <c r="DG21" t="e">
        <f>AND(#REF!,"AAAAAG/tn24=")</f>
        <v>#REF!</v>
      </c>
      <c r="DH21" t="e">
        <f>AND(#REF!,"AAAAAG/tn28=")</f>
        <v>#REF!</v>
      </c>
      <c r="DI21" t="e">
        <f>AND(#REF!,"AAAAAG/tn3A=")</f>
        <v>#REF!</v>
      </c>
      <c r="DJ21" t="e">
        <f>AND(#REF!,"AAAAAG/tn3E=")</f>
        <v>#REF!</v>
      </c>
      <c r="DK21" t="e">
        <f>AND(#REF!,"AAAAAG/tn3I=")</f>
        <v>#REF!</v>
      </c>
      <c r="DL21" t="e">
        <f>AND(#REF!,"AAAAAG/tn3M=")</f>
        <v>#REF!</v>
      </c>
      <c r="DM21" t="e">
        <f>AND(#REF!,"AAAAAG/tn3Q=")</f>
        <v>#REF!</v>
      </c>
      <c r="DN21" t="e">
        <f>AND(#REF!,"AAAAAG/tn3U=")</f>
        <v>#REF!</v>
      </c>
      <c r="DO21" t="e">
        <f>AND(#REF!,"AAAAAG/tn3Y=")</f>
        <v>#REF!</v>
      </c>
      <c r="DP21" t="e">
        <f>AND(#REF!,"AAAAAG/tn3c=")</f>
        <v>#REF!</v>
      </c>
      <c r="DQ21" t="e">
        <f>AND(#REF!,"AAAAAG/tn3g=")</f>
        <v>#REF!</v>
      </c>
      <c r="DR21" t="e">
        <f>AND(#REF!,"AAAAAG/tn3k=")</f>
        <v>#REF!</v>
      </c>
      <c r="DS21" t="e">
        <f>AND(#REF!,"AAAAAG/tn3o=")</f>
        <v>#REF!</v>
      </c>
      <c r="DT21" t="e">
        <f>AND(#REF!,"AAAAAG/tn3s=")</f>
        <v>#REF!</v>
      </c>
      <c r="DU21" t="e">
        <f>AND(#REF!,"AAAAAG/tn3w=")</f>
        <v>#REF!</v>
      </c>
      <c r="DV21" t="e">
        <f>AND(#REF!,"AAAAAG/tn30=")</f>
        <v>#REF!</v>
      </c>
      <c r="DW21" t="e">
        <f>AND(#REF!,"AAAAAG/tn34=")</f>
        <v>#REF!</v>
      </c>
      <c r="DX21" t="e">
        <f>AND(#REF!,"AAAAAG/tn38=")</f>
        <v>#REF!</v>
      </c>
      <c r="DY21" t="e">
        <f>AND(#REF!,"AAAAAG/tn4A=")</f>
        <v>#REF!</v>
      </c>
      <c r="DZ21" t="e">
        <f>AND(#REF!,"AAAAAG/tn4E=")</f>
        <v>#REF!</v>
      </c>
      <c r="EA21" t="e">
        <f>AND(#REF!,"AAAAAG/tn4I=")</f>
        <v>#REF!</v>
      </c>
      <c r="EB21" t="e">
        <f>AND(#REF!,"AAAAAG/tn4M=")</f>
        <v>#REF!</v>
      </c>
      <c r="EC21" t="e">
        <f>AND(#REF!,"AAAAAG/tn4Q=")</f>
        <v>#REF!</v>
      </c>
      <c r="ED21" t="e">
        <f>AND(#REF!,"AAAAAG/tn4U=")</f>
        <v>#REF!</v>
      </c>
      <c r="EE21" t="e">
        <f>AND(#REF!,"AAAAAG/tn4Y=")</f>
        <v>#REF!</v>
      </c>
      <c r="EF21" t="e">
        <f>AND(#REF!,"AAAAAG/tn4c=")</f>
        <v>#REF!</v>
      </c>
      <c r="EG21" t="e">
        <f>AND(#REF!,"AAAAAG/tn4g=")</f>
        <v>#REF!</v>
      </c>
      <c r="EH21" t="e">
        <f>AND(#REF!,"AAAAAG/tn4k=")</f>
        <v>#REF!</v>
      </c>
      <c r="EI21" t="e">
        <f>AND(#REF!,"AAAAAG/tn4o=")</f>
        <v>#REF!</v>
      </c>
      <c r="EJ21" t="e">
        <f>AND(#REF!,"AAAAAG/tn4s=")</f>
        <v>#REF!</v>
      </c>
      <c r="EK21" t="e">
        <f>AND(#REF!,"AAAAAG/tn4w=")</f>
        <v>#REF!</v>
      </c>
      <c r="EL21" t="e">
        <f>AND(#REF!,"AAAAAG/tn40=")</f>
        <v>#REF!</v>
      </c>
      <c r="EM21" t="e">
        <f>AND(#REF!,"AAAAAG/tn44=")</f>
        <v>#REF!</v>
      </c>
      <c r="EN21" t="e">
        <f>AND(#REF!,"AAAAAG/tn48=")</f>
        <v>#REF!</v>
      </c>
      <c r="EO21" t="e">
        <f>AND(#REF!,"AAAAAG/tn5A=")</f>
        <v>#REF!</v>
      </c>
      <c r="EP21" t="e">
        <f>AND(#REF!,"AAAAAG/tn5E=")</f>
        <v>#REF!</v>
      </c>
      <c r="EQ21" t="e">
        <f>AND(#REF!,"AAAAAG/tn5I=")</f>
        <v>#REF!</v>
      </c>
      <c r="ER21" t="e">
        <f>AND(#REF!,"AAAAAG/tn5M=")</f>
        <v>#REF!</v>
      </c>
      <c r="ES21" t="e">
        <f>AND(#REF!,"AAAAAG/tn5Q=")</f>
        <v>#REF!</v>
      </c>
      <c r="ET21" t="e">
        <f>AND(#REF!,"AAAAAG/tn5U=")</f>
        <v>#REF!</v>
      </c>
      <c r="EU21" t="e">
        <f>AND(#REF!,"AAAAAG/tn5Y=")</f>
        <v>#REF!</v>
      </c>
      <c r="EV21" t="e">
        <f>AND(#REF!,"AAAAAG/tn5c=")</f>
        <v>#REF!</v>
      </c>
      <c r="EW21" t="e">
        <f>AND(#REF!,"AAAAAG/tn5g=")</f>
        <v>#REF!</v>
      </c>
      <c r="EX21" t="e">
        <f>AND(#REF!,"AAAAAG/tn5k=")</f>
        <v>#REF!</v>
      </c>
      <c r="EY21" t="e">
        <f>AND(#REF!,"AAAAAG/tn5o=")</f>
        <v>#REF!</v>
      </c>
      <c r="EZ21" t="e">
        <f>AND(#REF!,"AAAAAG/tn5s=")</f>
        <v>#REF!</v>
      </c>
      <c r="FA21" t="e">
        <f>AND(#REF!,"AAAAAG/tn5w=")</f>
        <v>#REF!</v>
      </c>
      <c r="FB21" t="e">
        <f>AND(#REF!,"AAAAAG/tn50=")</f>
        <v>#REF!</v>
      </c>
      <c r="FC21" t="e">
        <f>AND(#REF!,"AAAAAG/tn54=")</f>
        <v>#REF!</v>
      </c>
      <c r="FD21" t="e">
        <f>AND(#REF!,"AAAAAG/tn58=")</f>
        <v>#REF!</v>
      </c>
      <c r="FE21" t="e">
        <f>AND(#REF!,"AAAAAG/tn6A=")</f>
        <v>#REF!</v>
      </c>
      <c r="FF21" t="e">
        <f>AND(#REF!,"AAAAAG/tn6E=")</f>
        <v>#REF!</v>
      </c>
      <c r="FG21" t="e">
        <f>AND(#REF!,"AAAAAG/tn6I=")</f>
        <v>#REF!</v>
      </c>
      <c r="FH21" t="e">
        <f>AND(#REF!,"AAAAAG/tn6M=")</f>
        <v>#REF!</v>
      </c>
      <c r="FI21" t="e">
        <f>AND(#REF!,"AAAAAG/tn6Q=")</f>
        <v>#REF!</v>
      </c>
      <c r="FJ21" t="e">
        <f>AND(#REF!,"AAAAAG/tn6U=")</f>
        <v>#REF!</v>
      </c>
      <c r="FK21" t="e">
        <f>AND(#REF!,"AAAAAG/tn6Y=")</f>
        <v>#REF!</v>
      </c>
      <c r="FL21" t="e">
        <f>AND(#REF!,"AAAAAG/tn6c=")</f>
        <v>#REF!</v>
      </c>
      <c r="FM21" t="e">
        <f>AND(#REF!,"AAAAAG/tn6g=")</f>
        <v>#REF!</v>
      </c>
      <c r="FN21" t="e">
        <f>AND(#REF!,"AAAAAG/tn6k=")</f>
        <v>#REF!</v>
      </c>
      <c r="FO21" t="e">
        <f>AND(#REF!,"AAAAAG/tn6o=")</f>
        <v>#REF!</v>
      </c>
      <c r="FP21" t="e">
        <f>AND(#REF!,"AAAAAG/tn6s=")</f>
        <v>#REF!</v>
      </c>
      <c r="FQ21" t="e">
        <f>AND(#REF!,"AAAAAG/tn6w=")</f>
        <v>#REF!</v>
      </c>
      <c r="FR21" t="e">
        <f>AND(#REF!,"AAAAAG/tn60=")</f>
        <v>#REF!</v>
      </c>
      <c r="FS21" t="e">
        <f>AND(#REF!,"AAAAAG/tn64=")</f>
        <v>#REF!</v>
      </c>
      <c r="FT21" t="e">
        <f>AND(#REF!,"AAAAAG/tn68=")</f>
        <v>#REF!</v>
      </c>
      <c r="FU21" t="e">
        <f>AND(#REF!,"AAAAAG/tn7A=")</f>
        <v>#REF!</v>
      </c>
      <c r="FV21" t="e">
        <f>AND(#REF!,"AAAAAG/tn7E=")</f>
        <v>#REF!</v>
      </c>
      <c r="FW21" t="e">
        <f>AND(#REF!,"AAAAAG/tn7I=")</f>
        <v>#REF!</v>
      </c>
      <c r="FX21" t="e">
        <f>AND(#REF!,"AAAAAG/tn7M=")</f>
        <v>#REF!</v>
      </c>
      <c r="FY21" t="e">
        <f>AND(#REF!,"AAAAAG/tn7Q=")</f>
        <v>#REF!</v>
      </c>
      <c r="FZ21" t="e">
        <f>AND(#REF!,"AAAAAG/tn7U=")</f>
        <v>#REF!</v>
      </c>
      <c r="GA21" t="e">
        <f>AND(#REF!,"AAAAAG/tn7Y=")</f>
        <v>#REF!</v>
      </c>
      <c r="GB21" t="e">
        <f>AND(#REF!,"AAAAAG/tn7c=")</f>
        <v>#REF!</v>
      </c>
      <c r="GC21" t="e">
        <f>AND(#REF!,"AAAAAG/tn7g=")</f>
        <v>#REF!</v>
      </c>
      <c r="GD21" t="e">
        <f>AND(#REF!,"AAAAAG/tn7k=")</f>
        <v>#REF!</v>
      </c>
      <c r="GE21" t="e">
        <f>AND(#REF!,"AAAAAG/tn7o=")</f>
        <v>#REF!</v>
      </c>
      <c r="GF21" t="e">
        <f>AND(#REF!,"AAAAAG/tn7s=")</f>
        <v>#REF!</v>
      </c>
      <c r="GG21" t="e">
        <f>AND(#REF!,"AAAAAG/tn7w=")</f>
        <v>#REF!</v>
      </c>
      <c r="GH21" t="e">
        <f>AND(#REF!,"AAAAAG/tn70=")</f>
        <v>#REF!</v>
      </c>
      <c r="GI21" t="e">
        <f>AND(#REF!,"AAAAAG/tn74=")</f>
        <v>#REF!</v>
      </c>
      <c r="GJ21" t="e">
        <f>AND(#REF!,"AAAAAG/tn78=")</f>
        <v>#REF!</v>
      </c>
      <c r="GK21" t="e">
        <f>AND(#REF!,"AAAAAG/tn8A=")</f>
        <v>#REF!</v>
      </c>
      <c r="GL21" t="e">
        <f>AND(#REF!,"AAAAAG/tn8E=")</f>
        <v>#REF!</v>
      </c>
      <c r="GM21" t="e">
        <f>AND(#REF!,"AAAAAG/tn8I=")</f>
        <v>#REF!</v>
      </c>
      <c r="GN21" t="e">
        <f>AND(#REF!,"AAAAAG/tn8M=")</f>
        <v>#REF!</v>
      </c>
      <c r="GO21" t="e">
        <f>AND(#REF!,"AAAAAG/tn8Q=")</f>
        <v>#REF!</v>
      </c>
      <c r="GP21" t="e">
        <f>AND(#REF!,"AAAAAG/tn8U=")</f>
        <v>#REF!</v>
      </c>
      <c r="GQ21" t="e">
        <f>AND(#REF!,"AAAAAG/tn8Y=")</f>
        <v>#REF!</v>
      </c>
      <c r="GR21" t="e">
        <f>AND(#REF!,"AAAAAG/tn8c=")</f>
        <v>#REF!</v>
      </c>
      <c r="GS21" t="e">
        <f>AND(#REF!,"AAAAAG/tn8g=")</f>
        <v>#REF!</v>
      </c>
      <c r="GT21" t="e">
        <f>AND(#REF!,"AAAAAG/tn8k=")</f>
        <v>#REF!</v>
      </c>
      <c r="GU21" t="e">
        <f>AND(#REF!,"AAAAAG/tn8o=")</f>
        <v>#REF!</v>
      </c>
      <c r="GV21" t="e">
        <f>AND(#REF!,"AAAAAG/tn8s=")</f>
        <v>#REF!</v>
      </c>
      <c r="GW21" t="e">
        <f>AND(#REF!,"AAAAAG/tn8w=")</f>
        <v>#REF!</v>
      </c>
      <c r="GX21" t="e">
        <f>AND(#REF!,"AAAAAG/tn80=")</f>
        <v>#REF!</v>
      </c>
      <c r="GY21" t="e">
        <f>AND(#REF!,"AAAAAG/tn84=")</f>
        <v>#REF!</v>
      </c>
      <c r="GZ21" t="e">
        <f>AND(#REF!,"AAAAAG/tn88=")</f>
        <v>#REF!</v>
      </c>
      <c r="HA21" t="e">
        <f>AND(#REF!,"AAAAAG/tn9A=")</f>
        <v>#REF!</v>
      </c>
      <c r="HB21" t="e">
        <f>AND(#REF!,"AAAAAG/tn9E=")</f>
        <v>#REF!</v>
      </c>
      <c r="HC21" t="e">
        <f>AND(#REF!,"AAAAAG/tn9I=")</f>
        <v>#REF!</v>
      </c>
      <c r="HD21" t="e">
        <f>AND(#REF!,"AAAAAG/tn9M=")</f>
        <v>#REF!</v>
      </c>
      <c r="HE21" t="e">
        <f>AND(#REF!,"AAAAAG/tn9Q=")</f>
        <v>#REF!</v>
      </c>
      <c r="HF21" t="e">
        <f>AND(#REF!,"AAAAAG/tn9U=")</f>
        <v>#REF!</v>
      </c>
      <c r="HG21" t="e">
        <f>AND(#REF!,"AAAAAG/tn9Y=")</f>
        <v>#REF!</v>
      </c>
      <c r="HH21" t="e">
        <f>AND(#REF!,"AAAAAG/tn9c=")</f>
        <v>#REF!</v>
      </c>
      <c r="HI21" t="e">
        <f>AND(#REF!,"AAAAAG/tn9g=")</f>
        <v>#REF!</v>
      </c>
      <c r="HJ21" t="e">
        <f>AND(#REF!,"AAAAAG/tn9k=")</f>
        <v>#REF!</v>
      </c>
      <c r="HK21" t="e">
        <f>AND(#REF!,"AAAAAG/tn9o=")</f>
        <v>#REF!</v>
      </c>
      <c r="HL21" t="e">
        <f>AND(#REF!,"AAAAAG/tn9s=")</f>
        <v>#REF!</v>
      </c>
      <c r="HM21" t="e">
        <f>AND(#REF!,"AAAAAG/tn9w=")</f>
        <v>#REF!</v>
      </c>
      <c r="HN21" t="e">
        <f>AND(#REF!,"AAAAAG/tn90=")</f>
        <v>#REF!</v>
      </c>
      <c r="HO21" t="e">
        <f>AND(#REF!,"AAAAAG/tn94=")</f>
        <v>#REF!</v>
      </c>
      <c r="HP21" t="e">
        <f>AND(#REF!,"AAAAAG/tn98=")</f>
        <v>#REF!</v>
      </c>
      <c r="HQ21" t="e">
        <f>AND(#REF!,"AAAAAG/tn+A=")</f>
        <v>#REF!</v>
      </c>
      <c r="HR21" t="e">
        <f>AND(#REF!,"AAAAAG/tn+E=")</f>
        <v>#REF!</v>
      </c>
      <c r="HS21" t="e">
        <f>AND(#REF!,"AAAAAG/tn+I=")</f>
        <v>#REF!</v>
      </c>
      <c r="HT21" t="e">
        <f>AND(#REF!,"AAAAAG/tn+M=")</f>
        <v>#REF!</v>
      </c>
      <c r="HU21" t="e">
        <f>AND(#REF!,"AAAAAG/tn+Q=")</f>
        <v>#REF!</v>
      </c>
      <c r="HV21" t="e">
        <f>AND(#REF!,"AAAAAG/tn+U=")</f>
        <v>#REF!</v>
      </c>
      <c r="HW21" t="e">
        <f>AND(#REF!,"AAAAAG/tn+Y=")</f>
        <v>#REF!</v>
      </c>
      <c r="HX21" t="e">
        <f>AND(#REF!,"AAAAAG/tn+c=")</f>
        <v>#REF!</v>
      </c>
      <c r="HY21" t="e">
        <f>AND(#REF!,"AAAAAG/tn+g=")</f>
        <v>#REF!</v>
      </c>
      <c r="HZ21" t="e">
        <f>AND(#REF!,"AAAAAG/tn+k=")</f>
        <v>#REF!</v>
      </c>
      <c r="IA21" t="e">
        <f>AND(#REF!,"AAAAAG/tn+o=")</f>
        <v>#REF!</v>
      </c>
      <c r="IB21" t="e">
        <f>AND(#REF!,"AAAAAG/tn+s=")</f>
        <v>#REF!</v>
      </c>
      <c r="IC21" t="e">
        <f>AND(#REF!,"AAAAAG/tn+w=")</f>
        <v>#REF!</v>
      </c>
      <c r="ID21" t="e">
        <f>AND(#REF!,"AAAAAG/tn+0=")</f>
        <v>#REF!</v>
      </c>
      <c r="IE21" t="e">
        <f>AND(#REF!,"AAAAAG/tn+4=")</f>
        <v>#REF!</v>
      </c>
      <c r="IF21" t="e">
        <f>AND(#REF!,"AAAAAG/tn+8=")</f>
        <v>#REF!</v>
      </c>
      <c r="IG21" t="e">
        <f>AND(#REF!,"AAAAAG/tn/A=")</f>
        <v>#REF!</v>
      </c>
      <c r="IH21" t="e">
        <f>AND(#REF!,"AAAAAG/tn/E=")</f>
        <v>#REF!</v>
      </c>
      <c r="II21" t="e">
        <f>AND(#REF!,"AAAAAG/tn/I=")</f>
        <v>#REF!</v>
      </c>
      <c r="IJ21" t="e">
        <f>AND(#REF!,"AAAAAG/tn/M=")</f>
        <v>#REF!</v>
      </c>
      <c r="IK21" t="e">
        <f>AND(#REF!,"AAAAAG/tn/Q=")</f>
        <v>#REF!</v>
      </c>
      <c r="IL21" t="e">
        <f>AND(#REF!,"AAAAAG/tn/U=")</f>
        <v>#REF!</v>
      </c>
      <c r="IM21" t="e">
        <f>AND(#REF!,"AAAAAG/tn/Y=")</f>
        <v>#REF!</v>
      </c>
      <c r="IN21" t="e">
        <f>AND(#REF!,"AAAAAG/tn/c=")</f>
        <v>#REF!</v>
      </c>
      <c r="IO21" t="e">
        <f>AND(#REF!,"AAAAAG/tn/g=")</f>
        <v>#REF!</v>
      </c>
      <c r="IP21" t="e">
        <f>AND(#REF!,"AAAAAG/tn/k=")</f>
        <v>#REF!</v>
      </c>
      <c r="IQ21" t="e">
        <f>AND(#REF!,"AAAAAG/tn/o=")</f>
        <v>#REF!</v>
      </c>
      <c r="IR21" t="e">
        <f>AND(#REF!,"AAAAAG/tn/s=")</f>
        <v>#REF!</v>
      </c>
      <c r="IS21" t="e">
        <f>AND(#REF!,"AAAAAG/tn/w=")</f>
        <v>#REF!</v>
      </c>
      <c r="IT21" t="e">
        <f>AND(#REF!,"AAAAAG/tn/0=")</f>
        <v>#REF!</v>
      </c>
      <c r="IU21" t="e">
        <f>AND(#REF!,"AAAAAG/tn/4=")</f>
        <v>#REF!</v>
      </c>
      <c r="IV21" t="e">
        <f>AND(#REF!,"AAAAAG/tn/8=")</f>
        <v>#REF!</v>
      </c>
    </row>
    <row r="22" spans="1:256" x14ac:dyDescent="0.25">
      <c r="A22" t="e">
        <f>AND(#REF!,"AAAAAH//1QA=")</f>
        <v>#REF!</v>
      </c>
      <c r="B22" t="e">
        <f>AND(#REF!,"AAAAAH//1QE=")</f>
        <v>#REF!</v>
      </c>
      <c r="C22" t="e">
        <f>AND(#REF!,"AAAAAH//1QI=")</f>
        <v>#REF!</v>
      </c>
      <c r="D22" t="e">
        <f>AND(#REF!,"AAAAAH//1QM=")</f>
        <v>#REF!</v>
      </c>
      <c r="E22" t="e">
        <f>AND(#REF!,"AAAAAH//1QQ=")</f>
        <v>#REF!</v>
      </c>
      <c r="F22" t="e">
        <f>AND(#REF!,"AAAAAH//1QU=")</f>
        <v>#REF!</v>
      </c>
      <c r="G22" t="e">
        <f>AND(#REF!,"AAAAAH//1QY=")</f>
        <v>#REF!</v>
      </c>
      <c r="H22" t="e">
        <f>AND(#REF!,"AAAAAH//1Qc=")</f>
        <v>#REF!</v>
      </c>
      <c r="I22" t="e">
        <f>AND(#REF!,"AAAAAH//1Qg=")</f>
        <v>#REF!</v>
      </c>
      <c r="J22" t="e">
        <f>AND(#REF!,"AAAAAH//1Qk=")</f>
        <v>#REF!</v>
      </c>
      <c r="K22" t="e">
        <f>AND(#REF!,"AAAAAH//1Qo=")</f>
        <v>#REF!</v>
      </c>
      <c r="L22" t="e">
        <f>AND(#REF!,"AAAAAH//1Qs=")</f>
        <v>#REF!</v>
      </c>
      <c r="M22" t="e">
        <f>AND(#REF!,"AAAAAH//1Qw=")</f>
        <v>#REF!</v>
      </c>
      <c r="N22" t="e">
        <f>AND(#REF!,"AAAAAH//1Q0=")</f>
        <v>#REF!</v>
      </c>
      <c r="O22" t="e">
        <f>IF(#REF!,"AAAAAH//1Q4=",0)</f>
        <v>#REF!</v>
      </c>
      <c r="P22" t="e">
        <f>AND(#REF!,"AAAAAH//1Q8=")</f>
        <v>#REF!</v>
      </c>
      <c r="Q22" t="e">
        <f>AND(#REF!,"AAAAAH//1RA=")</f>
        <v>#REF!</v>
      </c>
      <c r="R22" t="e">
        <f>AND(#REF!,"AAAAAH//1RE=")</f>
        <v>#REF!</v>
      </c>
      <c r="S22" t="e">
        <f>AND(#REF!,"AAAAAH//1RI=")</f>
        <v>#REF!</v>
      </c>
      <c r="T22" t="e">
        <f>AND(#REF!,"AAAAAH//1RM=")</f>
        <v>#REF!</v>
      </c>
      <c r="U22" t="e">
        <f>AND(#REF!,"AAAAAH//1RQ=")</f>
        <v>#REF!</v>
      </c>
      <c r="V22" t="e">
        <f>AND(#REF!,"AAAAAH//1RU=")</f>
        <v>#REF!</v>
      </c>
      <c r="W22" t="e">
        <f>AND(#REF!,"AAAAAH//1RY=")</f>
        <v>#REF!</v>
      </c>
      <c r="X22" t="e">
        <f>AND(#REF!,"AAAAAH//1Rc=")</f>
        <v>#REF!</v>
      </c>
      <c r="Y22" t="e">
        <f>AND(#REF!,"AAAAAH//1Rg=")</f>
        <v>#REF!</v>
      </c>
      <c r="Z22" t="e">
        <f>AND(#REF!,"AAAAAH//1Rk=")</f>
        <v>#REF!</v>
      </c>
      <c r="AA22" t="e">
        <f>AND(#REF!,"AAAAAH//1Ro=")</f>
        <v>#REF!</v>
      </c>
      <c r="AB22" t="e">
        <f>AND(#REF!,"AAAAAH//1Rs=")</f>
        <v>#REF!</v>
      </c>
      <c r="AC22" t="e">
        <f>AND(#REF!,"AAAAAH//1Rw=")</f>
        <v>#REF!</v>
      </c>
      <c r="AD22" t="e">
        <f>AND(#REF!,"AAAAAH//1R0=")</f>
        <v>#REF!</v>
      </c>
      <c r="AE22" t="e">
        <f>AND(#REF!,"AAAAAH//1R4=")</f>
        <v>#REF!</v>
      </c>
      <c r="AF22" t="e">
        <f>AND(#REF!,"AAAAAH//1R8=")</f>
        <v>#REF!</v>
      </c>
      <c r="AG22" t="e">
        <f>AND(#REF!,"AAAAAH//1SA=")</f>
        <v>#REF!</v>
      </c>
      <c r="AH22" t="e">
        <f>AND(#REF!,"AAAAAH//1SE=")</f>
        <v>#REF!</v>
      </c>
      <c r="AI22" t="e">
        <f>AND(#REF!,"AAAAAH//1SI=")</f>
        <v>#REF!</v>
      </c>
      <c r="AJ22" t="e">
        <f>AND(#REF!,"AAAAAH//1SM=")</f>
        <v>#REF!</v>
      </c>
      <c r="AK22" t="e">
        <f>AND(#REF!,"AAAAAH//1SQ=")</f>
        <v>#REF!</v>
      </c>
      <c r="AL22" t="e">
        <f>AND(#REF!,"AAAAAH//1SU=")</f>
        <v>#REF!</v>
      </c>
      <c r="AM22" t="e">
        <f>AND(#REF!,"AAAAAH//1SY=")</f>
        <v>#REF!</v>
      </c>
      <c r="AN22" t="e">
        <f>AND(#REF!,"AAAAAH//1Sc=")</f>
        <v>#REF!</v>
      </c>
      <c r="AO22" t="e">
        <f>AND(#REF!,"AAAAAH//1Sg=")</f>
        <v>#REF!</v>
      </c>
      <c r="AP22" t="e">
        <f>AND(#REF!,"AAAAAH//1Sk=")</f>
        <v>#REF!</v>
      </c>
      <c r="AQ22" t="e">
        <f>AND(#REF!,"AAAAAH//1So=")</f>
        <v>#REF!</v>
      </c>
      <c r="AR22" t="e">
        <f>AND(#REF!,"AAAAAH//1Ss=")</f>
        <v>#REF!</v>
      </c>
      <c r="AS22" t="e">
        <f>AND(#REF!,"AAAAAH//1Sw=")</f>
        <v>#REF!</v>
      </c>
      <c r="AT22" t="e">
        <f>AND(#REF!,"AAAAAH//1S0=")</f>
        <v>#REF!</v>
      </c>
      <c r="AU22" t="e">
        <f>AND(#REF!,"AAAAAH//1S4=")</f>
        <v>#REF!</v>
      </c>
      <c r="AV22" t="e">
        <f>AND(#REF!,"AAAAAH//1S8=")</f>
        <v>#REF!</v>
      </c>
      <c r="AW22" t="e">
        <f>AND(#REF!,"AAAAAH//1TA=")</f>
        <v>#REF!</v>
      </c>
      <c r="AX22" t="e">
        <f>AND(#REF!,"AAAAAH//1TE=")</f>
        <v>#REF!</v>
      </c>
      <c r="AY22" t="e">
        <f>AND(#REF!,"AAAAAH//1TI=")</f>
        <v>#REF!</v>
      </c>
      <c r="AZ22" t="e">
        <f>AND(#REF!,"AAAAAH//1TM=")</f>
        <v>#REF!</v>
      </c>
      <c r="BA22" t="e">
        <f>AND(#REF!,"AAAAAH//1TQ=")</f>
        <v>#REF!</v>
      </c>
      <c r="BB22" t="e">
        <f>AND(#REF!,"AAAAAH//1TU=")</f>
        <v>#REF!</v>
      </c>
      <c r="BC22" t="e">
        <f>AND(#REF!,"AAAAAH//1TY=")</f>
        <v>#REF!</v>
      </c>
      <c r="BD22" t="e">
        <f>AND(#REF!,"AAAAAH//1Tc=")</f>
        <v>#REF!</v>
      </c>
      <c r="BE22" t="e">
        <f>AND(#REF!,"AAAAAH//1Tg=")</f>
        <v>#REF!</v>
      </c>
      <c r="BF22" t="e">
        <f>AND(#REF!,"AAAAAH//1Tk=")</f>
        <v>#REF!</v>
      </c>
      <c r="BG22" t="e">
        <f>AND(#REF!,"AAAAAH//1To=")</f>
        <v>#REF!</v>
      </c>
      <c r="BH22" t="e">
        <f>AND(#REF!,"AAAAAH//1Ts=")</f>
        <v>#REF!</v>
      </c>
      <c r="BI22" t="e">
        <f>AND(#REF!,"AAAAAH//1Tw=")</f>
        <v>#REF!</v>
      </c>
      <c r="BJ22" t="e">
        <f>AND(#REF!,"AAAAAH//1T0=")</f>
        <v>#REF!</v>
      </c>
      <c r="BK22" t="e">
        <f>AND(#REF!,"AAAAAH//1T4=")</f>
        <v>#REF!</v>
      </c>
      <c r="BL22" t="e">
        <f>AND(#REF!,"AAAAAH//1T8=")</f>
        <v>#REF!</v>
      </c>
      <c r="BM22" t="e">
        <f>AND(#REF!,"AAAAAH//1UA=")</f>
        <v>#REF!</v>
      </c>
      <c r="BN22" t="e">
        <f>AND(#REF!,"AAAAAH//1UE=")</f>
        <v>#REF!</v>
      </c>
      <c r="BO22" t="e">
        <f>AND(#REF!,"AAAAAH//1UI=")</f>
        <v>#REF!</v>
      </c>
      <c r="BP22" t="e">
        <f>AND(#REF!,"AAAAAH//1UM=")</f>
        <v>#REF!</v>
      </c>
      <c r="BQ22" t="e">
        <f>AND(#REF!,"AAAAAH//1UQ=")</f>
        <v>#REF!</v>
      </c>
      <c r="BR22" t="e">
        <f>AND(#REF!,"AAAAAH//1UU=")</f>
        <v>#REF!</v>
      </c>
      <c r="BS22" t="e">
        <f>AND(#REF!,"AAAAAH//1UY=")</f>
        <v>#REF!</v>
      </c>
      <c r="BT22" t="e">
        <f>AND(#REF!,"AAAAAH//1Uc=")</f>
        <v>#REF!</v>
      </c>
      <c r="BU22" t="e">
        <f>AND(#REF!,"AAAAAH//1Ug=")</f>
        <v>#REF!</v>
      </c>
      <c r="BV22" t="e">
        <f>AND(#REF!,"AAAAAH//1Uk=")</f>
        <v>#REF!</v>
      </c>
      <c r="BW22" t="e">
        <f>AND(#REF!,"AAAAAH//1Uo=")</f>
        <v>#REF!</v>
      </c>
      <c r="BX22" t="e">
        <f>AND(#REF!,"AAAAAH//1Us=")</f>
        <v>#REF!</v>
      </c>
      <c r="BY22" t="e">
        <f>AND(#REF!,"AAAAAH//1Uw=")</f>
        <v>#REF!</v>
      </c>
      <c r="BZ22" t="e">
        <f>AND(#REF!,"AAAAAH//1U0=")</f>
        <v>#REF!</v>
      </c>
      <c r="CA22" t="e">
        <f>AND(#REF!,"AAAAAH//1U4=")</f>
        <v>#REF!</v>
      </c>
      <c r="CB22" t="e">
        <f>AND(#REF!,"AAAAAH//1U8=")</f>
        <v>#REF!</v>
      </c>
      <c r="CC22" t="e">
        <f>AND(#REF!,"AAAAAH//1VA=")</f>
        <v>#REF!</v>
      </c>
      <c r="CD22" t="e">
        <f>AND(#REF!,"AAAAAH//1VE=")</f>
        <v>#REF!</v>
      </c>
      <c r="CE22" t="e">
        <f>AND(#REF!,"AAAAAH//1VI=")</f>
        <v>#REF!</v>
      </c>
      <c r="CF22" t="e">
        <f>AND(#REF!,"AAAAAH//1VM=")</f>
        <v>#REF!</v>
      </c>
      <c r="CG22" t="e">
        <f>AND(#REF!,"AAAAAH//1VQ=")</f>
        <v>#REF!</v>
      </c>
      <c r="CH22" t="e">
        <f>AND(#REF!,"AAAAAH//1VU=")</f>
        <v>#REF!</v>
      </c>
      <c r="CI22" t="e">
        <f>AND(#REF!,"AAAAAH//1VY=")</f>
        <v>#REF!</v>
      </c>
      <c r="CJ22" t="e">
        <f>AND(#REF!,"AAAAAH//1Vc=")</f>
        <v>#REF!</v>
      </c>
      <c r="CK22" t="e">
        <f>AND(#REF!,"AAAAAH//1Vg=")</f>
        <v>#REF!</v>
      </c>
      <c r="CL22" t="e">
        <f>AND(#REF!,"AAAAAH//1Vk=")</f>
        <v>#REF!</v>
      </c>
      <c r="CM22" t="e">
        <f>AND(#REF!,"AAAAAH//1Vo=")</f>
        <v>#REF!</v>
      </c>
      <c r="CN22" t="e">
        <f>AND(#REF!,"AAAAAH//1Vs=")</f>
        <v>#REF!</v>
      </c>
      <c r="CO22" t="e">
        <f>AND(#REF!,"AAAAAH//1Vw=")</f>
        <v>#REF!</v>
      </c>
      <c r="CP22" t="e">
        <f>AND(#REF!,"AAAAAH//1V0=")</f>
        <v>#REF!</v>
      </c>
      <c r="CQ22" t="e">
        <f>AND(#REF!,"AAAAAH//1V4=")</f>
        <v>#REF!</v>
      </c>
      <c r="CR22" t="e">
        <f>AND(#REF!,"AAAAAH//1V8=")</f>
        <v>#REF!</v>
      </c>
      <c r="CS22" t="e">
        <f>AND(#REF!,"AAAAAH//1WA=")</f>
        <v>#REF!</v>
      </c>
      <c r="CT22" t="e">
        <f>AND(#REF!,"AAAAAH//1WE=")</f>
        <v>#REF!</v>
      </c>
      <c r="CU22" t="e">
        <f>AND(#REF!,"AAAAAH//1WI=")</f>
        <v>#REF!</v>
      </c>
      <c r="CV22" t="e">
        <f>AND(#REF!,"AAAAAH//1WM=")</f>
        <v>#REF!</v>
      </c>
      <c r="CW22" t="e">
        <f>AND(#REF!,"AAAAAH//1WQ=")</f>
        <v>#REF!</v>
      </c>
      <c r="CX22" t="e">
        <f>AND(#REF!,"AAAAAH//1WU=")</f>
        <v>#REF!</v>
      </c>
      <c r="CY22" t="e">
        <f>AND(#REF!,"AAAAAH//1WY=")</f>
        <v>#REF!</v>
      </c>
      <c r="CZ22" t="e">
        <f>AND(#REF!,"AAAAAH//1Wc=")</f>
        <v>#REF!</v>
      </c>
      <c r="DA22" t="e">
        <f>AND(#REF!,"AAAAAH//1Wg=")</f>
        <v>#REF!</v>
      </c>
      <c r="DB22" t="e">
        <f>AND(#REF!,"AAAAAH//1Wk=")</f>
        <v>#REF!</v>
      </c>
      <c r="DC22" t="e">
        <f>AND(#REF!,"AAAAAH//1Wo=")</f>
        <v>#REF!</v>
      </c>
      <c r="DD22" t="e">
        <f>AND(#REF!,"AAAAAH//1Ws=")</f>
        <v>#REF!</v>
      </c>
      <c r="DE22" t="e">
        <f>AND(#REF!,"AAAAAH//1Ww=")</f>
        <v>#REF!</v>
      </c>
      <c r="DF22" t="e">
        <f>AND(#REF!,"AAAAAH//1W0=")</f>
        <v>#REF!</v>
      </c>
      <c r="DG22" t="e">
        <f>AND(#REF!,"AAAAAH//1W4=")</f>
        <v>#REF!</v>
      </c>
      <c r="DH22" t="e">
        <f>AND(#REF!,"AAAAAH//1W8=")</f>
        <v>#REF!</v>
      </c>
      <c r="DI22" t="e">
        <f>AND(#REF!,"AAAAAH//1XA=")</f>
        <v>#REF!</v>
      </c>
      <c r="DJ22" t="e">
        <f>AND(#REF!,"AAAAAH//1XE=")</f>
        <v>#REF!</v>
      </c>
      <c r="DK22" t="e">
        <f>AND(#REF!,"AAAAAH//1XI=")</f>
        <v>#REF!</v>
      </c>
      <c r="DL22" t="e">
        <f>AND(#REF!,"AAAAAH//1XM=")</f>
        <v>#REF!</v>
      </c>
      <c r="DM22" t="e">
        <f>AND(#REF!,"AAAAAH//1XQ=")</f>
        <v>#REF!</v>
      </c>
      <c r="DN22" t="e">
        <f>AND(#REF!,"AAAAAH//1XU=")</f>
        <v>#REF!</v>
      </c>
      <c r="DO22" t="e">
        <f>AND(#REF!,"AAAAAH//1XY=")</f>
        <v>#REF!</v>
      </c>
      <c r="DP22" t="e">
        <f>AND(#REF!,"AAAAAH//1Xc=")</f>
        <v>#REF!</v>
      </c>
      <c r="DQ22" t="e">
        <f>AND(#REF!,"AAAAAH//1Xg=")</f>
        <v>#REF!</v>
      </c>
      <c r="DR22" t="e">
        <f>AND(#REF!,"AAAAAH//1Xk=")</f>
        <v>#REF!</v>
      </c>
      <c r="DS22" t="e">
        <f>AND(#REF!,"AAAAAH//1Xo=")</f>
        <v>#REF!</v>
      </c>
      <c r="DT22" t="e">
        <f>AND(#REF!,"AAAAAH//1Xs=")</f>
        <v>#REF!</v>
      </c>
      <c r="DU22" t="e">
        <f>AND(#REF!,"AAAAAH//1Xw=")</f>
        <v>#REF!</v>
      </c>
      <c r="DV22" t="e">
        <f>AND(#REF!,"AAAAAH//1X0=")</f>
        <v>#REF!</v>
      </c>
      <c r="DW22" t="e">
        <f>AND(#REF!,"AAAAAH//1X4=")</f>
        <v>#REF!</v>
      </c>
      <c r="DX22" t="e">
        <f>AND(#REF!,"AAAAAH//1X8=")</f>
        <v>#REF!</v>
      </c>
      <c r="DY22" t="e">
        <f>AND(#REF!,"AAAAAH//1YA=")</f>
        <v>#REF!</v>
      </c>
      <c r="DZ22" t="e">
        <f>AND(#REF!,"AAAAAH//1YE=")</f>
        <v>#REF!</v>
      </c>
      <c r="EA22" t="e">
        <f>AND(#REF!,"AAAAAH//1YI=")</f>
        <v>#REF!</v>
      </c>
      <c r="EB22" t="e">
        <f>AND(#REF!,"AAAAAH//1YM=")</f>
        <v>#REF!</v>
      </c>
      <c r="EC22" t="e">
        <f>AND(#REF!,"AAAAAH//1YQ=")</f>
        <v>#REF!</v>
      </c>
      <c r="ED22" t="e">
        <f>AND(#REF!,"AAAAAH//1YU=")</f>
        <v>#REF!</v>
      </c>
      <c r="EE22" t="e">
        <f>AND(#REF!,"AAAAAH//1YY=")</f>
        <v>#REF!</v>
      </c>
      <c r="EF22" t="e">
        <f>AND(#REF!,"AAAAAH//1Yc=")</f>
        <v>#REF!</v>
      </c>
      <c r="EG22" t="e">
        <f>AND(#REF!,"AAAAAH//1Yg=")</f>
        <v>#REF!</v>
      </c>
      <c r="EH22" t="e">
        <f>AND(#REF!,"AAAAAH//1Yk=")</f>
        <v>#REF!</v>
      </c>
      <c r="EI22" t="e">
        <f>AND(#REF!,"AAAAAH//1Yo=")</f>
        <v>#REF!</v>
      </c>
      <c r="EJ22" t="e">
        <f>AND(#REF!,"AAAAAH//1Ys=")</f>
        <v>#REF!</v>
      </c>
      <c r="EK22" t="e">
        <f>AND(#REF!,"AAAAAH//1Yw=")</f>
        <v>#REF!</v>
      </c>
      <c r="EL22" t="e">
        <f>AND(#REF!,"AAAAAH//1Y0=")</f>
        <v>#REF!</v>
      </c>
      <c r="EM22" t="e">
        <f>AND(#REF!,"AAAAAH//1Y4=")</f>
        <v>#REF!</v>
      </c>
      <c r="EN22" t="e">
        <f>AND(#REF!,"AAAAAH//1Y8=")</f>
        <v>#REF!</v>
      </c>
      <c r="EO22" t="e">
        <f>AND(#REF!,"AAAAAH//1ZA=")</f>
        <v>#REF!</v>
      </c>
      <c r="EP22" t="e">
        <f>AND(#REF!,"AAAAAH//1ZE=")</f>
        <v>#REF!</v>
      </c>
      <c r="EQ22" t="e">
        <f>AND(#REF!,"AAAAAH//1ZI=")</f>
        <v>#REF!</v>
      </c>
      <c r="ER22" t="e">
        <f>AND(#REF!,"AAAAAH//1ZM=")</f>
        <v>#REF!</v>
      </c>
      <c r="ES22" t="e">
        <f>AND(#REF!,"AAAAAH//1ZQ=")</f>
        <v>#REF!</v>
      </c>
      <c r="ET22" t="e">
        <f>AND(#REF!,"AAAAAH//1ZU=")</f>
        <v>#REF!</v>
      </c>
      <c r="EU22" t="e">
        <f>AND(#REF!,"AAAAAH//1ZY=")</f>
        <v>#REF!</v>
      </c>
      <c r="EV22" t="e">
        <f>AND(#REF!,"AAAAAH//1Zc=")</f>
        <v>#REF!</v>
      </c>
      <c r="EW22" t="e">
        <f>AND(#REF!,"AAAAAH//1Zg=")</f>
        <v>#REF!</v>
      </c>
      <c r="EX22" t="e">
        <f>AND(#REF!,"AAAAAH//1Zk=")</f>
        <v>#REF!</v>
      </c>
      <c r="EY22" t="e">
        <f>AND(#REF!,"AAAAAH//1Zo=")</f>
        <v>#REF!</v>
      </c>
      <c r="EZ22" t="e">
        <f>AND(#REF!,"AAAAAH//1Zs=")</f>
        <v>#REF!</v>
      </c>
      <c r="FA22" t="e">
        <f>AND(#REF!,"AAAAAH//1Zw=")</f>
        <v>#REF!</v>
      </c>
      <c r="FB22" t="e">
        <f>AND(#REF!,"AAAAAH//1Z0=")</f>
        <v>#REF!</v>
      </c>
      <c r="FC22" t="e">
        <f>AND(#REF!,"AAAAAH//1Z4=")</f>
        <v>#REF!</v>
      </c>
      <c r="FD22" t="e">
        <f>AND(#REF!,"AAAAAH//1Z8=")</f>
        <v>#REF!</v>
      </c>
      <c r="FE22" t="e">
        <f>AND(#REF!,"AAAAAH//1aA=")</f>
        <v>#REF!</v>
      </c>
      <c r="FF22" t="e">
        <f>AND(#REF!,"AAAAAH//1aE=")</f>
        <v>#REF!</v>
      </c>
      <c r="FG22" t="e">
        <f>AND(#REF!,"AAAAAH//1aI=")</f>
        <v>#REF!</v>
      </c>
      <c r="FH22" t="e">
        <f>AND(#REF!,"AAAAAH//1aM=")</f>
        <v>#REF!</v>
      </c>
      <c r="FI22" t="e">
        <f>AND(#REF!,"AAAAAH//1aQ=")</f>
        <v>#REF!</v>
      </c>
      <c r="FJ22" t="e">
        <f>AND(#REF!,"AAAAAH//1aU=")</f>
        <v>#REF!</v>
      </c>
      <c r="FK22" t="e">
        <f>AND(#REF!,"AAAAAH//1aY=")</f>
        <v>#REF!</v>
      </c>
      <c r="FL22" t="e">
        <f>AND(#REF!,"AAAAAH//1ac=")</f>
        <v>#REF!</v>
      </c>
      <c r="FM22" t="e">
        <f>AND(#REF!,"AAAAAH//1ag=")</f>
        <v>#REF!</v>
      </c>
      <c r="FN22" t="e">
        <f>AND(#REF!,"AAAAAH//1ak=")</f>
        <v>#REF!</v>
      </c>
      <c r="FO22" t="e">
        <f>AND(#REF!,"AAAAAH//1ao=")</f>
        <v>#REF!</v>
      </c>
      <c r="FP22" t="e">
        <f>AND(#REF!,"AAAAAH//1as=")</f>
        <v>#REF!</v>
      </c>
      <c r="FQ22" t="e">
        <f>AND(#REF!,"AAAAAH//1aw=")</f>
        <v>#REF!</v>
      </c>
      <c r="FR22" t="e">
        <f>AND(#REF!,"AAAAAH//1a0=")</f>
        <v>#REF!</v>
      </c>
      <c r="FS22" t="e">
        <f>AND(#REF!,"AAAAAH//1a4=")</f>
        <v>#REF!</v>
      </c>
      <c r="FT22" t="e">
        <f>AND(#REF!,"AAAAAH//1a8=")</f>
        <v>#REF!</v>
      </c>
      <c r="FU22" t="e">
        <f>AND(#REF!,"AAAAAH//1bA=")</f>
        <v>#REF!</v>
      </c>
      <c r="FV22" t="e">
        <f>AND(#REF!,"AAAAAH//1bE=")</f>
        <v>#REF!</v>
      </c>
      <c r="FW22" t="e">
        <f>AND(#REF!,"AAAAAH//1bI=")</f>
        <v>#REF!</v>
      </c>
      <c r="FX22" t="e">
        <f>AND(#REF!,"AAAAAH//1bM=")</f>
        <v>#REF!</v>
      </c>
      <c r="FY22" t="e">
        <f>AND(#REF!,"AAAAAH//1bQ=")</f>
        <v>#REF!</v>
      </c>
      <c r="FZ22" t="e">
        <f>AND(#REF!,"AAAAAH//1bU=")</f>
        <v>#REF!</v>
      </c>
      <c r="GA22" t="e">
        <f>AND(#REF!,"AAAAAH//1bY=")</f>
        <v>#REF!</v>
      </c>
      <c r="GB22" t="e">
        <f>AND(#REF!,"AAAAAH//1bc=")</f>
        <v>#REF!</v>
      </c>
      <c r="GC22" t="e">
        <f>AND(#REF!,"AAAAAH//1bg=")</f>
        <v>#REF!</v>
      </c>
      <c r="GD22" t="e">
        <f>AND(#REF!,"AAAAAH//1bk=")</f>
        <v>#REF!</v>
      </c>
      <c r="GE22" t="e">
        <f>AND(#REF!,"AAAAAH//1bo=")</f>
        <v>#REF!</v>
      </c>
      <c r="GF22" t="e">
        <f>AND(#REF!,"AAAAAH//1bs=")</f>
        <v>#REF!</v>
      </c>
      <c r="GG22" t="e">
        <f>AND(#REF!,"AAAAAH//1bw=")</f>
        <v>#REF!</v>
      </c>
      <c r="GH22" t="e">
        <f>AND(#REF!,"AAAAAH//1b0=")</f>
        <v>#REF!</v>
      </c>
      <c r="GI22" t="e">
        <f>AND(#REF!,"AAAAAH//1b4=")</f>
        <v>#REF!</v>
      </c>
      <c r="GJ22" t="e">
        <f>AND(#REF!,"AAAAAH//1b8=")</f>
        <v>#REF!</v>
      </c>
      <c r="GK22" t="e">
        <f>AND(#REF!,"AAAAAH//1cA=")</f>
        <v>#REF!</v>
      </c>
      <c r="GL22" t="e">
        <f>AND(#REF!,"AAAAAH//1cE=")</f>
        <v>#REF!</v>
      </c>
      <c r="GM22" t="e">
        <f>AND(#REF!,"AAAAAH//1cI=")</f>
        <v>#REF!</v>
      </c>
      <c r="GN22" t="e">
        <f>AND(#REF!,"AAAAAH//1cM=")</f>
        <v>#REF!</v>
      </c>
      <c r="GO22" t="e">
        <f>AND(#REF!,"AAAAAH//1cQ=")</f>
        <v>#REF!</v>
      </c>
      <c r="GP22" t="e">
        <f>AND(#REF!,"AAAAAH//1cU=")</f>
        <v>#REF!</v>
      </c>
      <c r="GQ22" t="e">
        <f>AND(#REF!,"AAAAAH//1cY=")</f>
        <v>#REF!</v>
      </c>
      <c r="GR22" t="e">
        <f>AND(#REF!,"AAAAAH//1cc=")</f>
        <v>#REF!</v>
      </c>
      <c r="GS22" t="e">
        <f>AND(#REF!,"AAAAAH//1cg=")</f>
        <v>#REF!</v>
      </c>
      <c r="GT22" t="e">
        <f>AND(#REF!,"AAAAAH//1ck=")</f>
        <v>#REF!</v>
      </c>
      <c r="GU22" t="e">
        <f>AND(#REF!,"AAAAAH//1co=")</f>
        <v>#REF!</v>
      </c>
      <c r="GV22" t="e">
        <f>AND(#REF!,"AAAAAH//1cs=")</f>
        <v>#REF!</v>
      </c>
      <c r="GW22" t="e">
        <f>AND(#REF!,"AAAAAH//1cw=")</f>
        <v>#REF!</v>
      </c>
      <c r="GX22" t="e">
        <f>AND(#REF!,"AAAAAH//1c0=")</f>
        <v>#REF!</v>
      </c>
      <c r="GY22" t="e">
        <f>AND(#REF!,"AAAAAH//1c4=")</f>
        <v>#REF!</v>
      </c>
      <c r="GZ22" t="e">
        <f>AND(#REF!,"AAAAAH//1c8=")</f>
        <v>#REF!</v>
      </c>
      <c r="HA22" t="e">
        <f>AND(#REF!,"AAAAAH//1dA=")</f>
        <v>#REF!</v>
      </c>
      <c r="HB22" t="e">
        <f>AND(#REF!,"AAAAAH//1dE=")</f>
        <v>#REF!</v>
      </c>
      <c r="HC22" t="e">
        <f>AND(#REF!,"AAAAAH//1dI=")</f>
        <v>#REF!</v>
      </c>
      <c r="HD22" t="e">
        <f>AND(#REF!,"AAAAAH//1dM=")</f>
        <v>#REF!</v>
      </c>
      <c r="HE22" t="e">
        <f>AND(#REF!,"AAAAAH//1dQ=")</f>
        <v>#REF!</v>
      </c>
      <c r="HF22" t="e">
        <f>AND(#REF!,"AAAAAH//1dU=")</f>
        <v>#REF!</v>
      </c>
      <c r="HG22" t="e">
        <f>AND(#REF!,"AAAAAH//1dY=")</f>
        <v>#REF!</v>
      </c>
      <c r="HH22" t="e">
        <f>AND(#REF!,"AAAAAH//1dc=")</f>
        <v>#REF!</v>
      </c>
      <c r="HI22" t="e">
        <f>AND(#REF!,"AAAAAH//1dg=")</f>
        <v>#REF!</v>
      </c>
      <c r="HJ22" t="e">
        <f>AND(#REF!,"AAAAAH//1dk=")</f>
        <v>#REF!</v>
      </c>
      <c r="HK22" t="e">
        <f>AND(#REF!,"AAAAAH//1do=")</f>
        <v>#REF!</v>
      </c>
      <c r="HL22" t="e">
        <f>AND(#REF!,"AAAAAH//1ds=")</f>
        <v>#REF!</v>
      </c>
      <c r="HM22" t="e">
        <f>AND(#REF!,"AAAAAH//1dw=")</f>
        <v>#REF!</v>
      </c>
      <c r="HN22" t="e">
        <f>AND(#REF!,"AAAAAH//1d0=")</f>
        <v>#REF!</v>
      </c>
      <c r="HO22" t="e">
        <f>AND(#REF!,"AAAAAH//1d4=")</f>
        <v>#REF!</v>
      </c>
      <c r="HP22" t="e">
        <f>AND(#REF!,"AAAAAH//1d8=")</f>
        <v>#REF!</v>
      </c>
      <c r="HQ22" t="e">
        <f>AND(#REF!,"AAAAAH//1eA=")</f>
        <v>#REF!</v>
      </c>
      <c r="HR22" t="e">
        <f>AND(#REF!,"AAAAAH//1eE=")</f>
        <v>#REF!</v>
      </c>
      <c r="HS22" t="e">
        <f>AND(#REF!,"AAAAAH//1eI=")</f>
        <v>#REF!</v>
      </c>
      <c r="HT22" t="e">
        <f>AND(#REF!,"AAAAAH//1eM=")</f>
        <v>#REF!</v>
      </c>
      <c r="HU22" t="e">
        <f>AND(#REF!,"AAAAAH//1eQ=")</f>
        <v>#REF!</v>
      </c>
      <c r="HV22" t="e">
        <f>AND(#REF!,"AAAAAH//1eU=")</f>
        <v>#REF!</v>
      </c>
      <c r="HW22" t="e">
        <f>AND(#REF!,"AAAAAH//1eY=")</f>
        <v>#REF!</v>
      </c>
      <c r="HX22" t="e">
        <f>AND(#REF!,"AAAAAH//1ec=")</f>
        <v>#REF!</v>
      </c>
      <c r="HY22" t="e">
        <f>AND(#REF!,"AAAAAH//1eg=")</f>
        <v>#REF!</v>
      </c>
      <c r="HZ22" t="e">
        <f>AND(#REF!,"AAAAAH//1ek=")</f>
        <v>#REF!</v>
      </c>
      <c r="IA22" t="e">
        <f>AND(#REF!,"AAAAAH//1eo=")</f>
        <v>#REF!</v>
      </c>
      <c r="IB22" t="e">
        <f>AND(#REF!,"AAAAAH//1es=")</f>
        <v>#REF!</v>
      </c>
      <c r="IC22" t="e">
        <f>AND(#REF!,"AAAAAH//1ew=")</f>
        <v>#REF!</v>
      </c>
      <c r="ID22" t="e">
        <f>AND(#REF!,"AAAAAH//1e0=")</f>
        <v>#REF!</v>
      </c>
      <c r="IE22" t="e">
        <f>AND(#REF!,"AAAAAH//1e4=")</f>
        <v>#REF!</v>
      </c>
      <c r="IF22" t="e">
        <f>AND(#REF!,"AAAAAH//1e8=")</f>
        <v>#REF!</v>
      </c>
      <c r="IG22" t="e">
        <f>AND(#REF!,"AAAAAH//1fA=")</f>
        <v>#REF!</v>
      </c>
      <c r="IH22" t="e">
        <f>AND(#REF!,"AAAAAH//1fE=")</f>
        <v>#REF!</v>
      </c>
      <c r="II22" t="e">
        <f>AND(#REF!,"AAAAAH//1fI=")</f>
        <v>#REF!</v>
      </c>
      <c r="IJ22" t="e">
        <f>AND(#REF!,"AAAAAH//1fM=")</f>
        <v>#REF!</v>
      </c>
      <c r="IK22" t="e">
        <f>AND(#REF!,"AAAAAH//1fQ=")</f>
        <v>#REF!</v>
      </c>
      <c r="IL22" t="e">
        <f>AND(#REF!,"AAAAAH//1fU=")</f>
        <v>#REF!</v>
      </c>
      <c r="IM22" t="e">
        <f>AND(#REF!,"AAAAAH//1fY=")</f>
        <v>#REF!</v>
      </c>
      <c r="IN22" t="e">
        <f>AND(#REF!,"AAAAAH//1fc=")</f>
        <v>#REF!</v>
      </c>
      <c r="IO22" t="e">
        <f>AND(#REF!,"AAAAAH//1fg=")</f>
        <v>#REF!</v>
      </c>
      <c r="IP22" t="e">
        <f>AND(#REF!,"AAAAAH//1fk=")</f>
        <v>#REF!</v>
      </c>
      <c r="IQ22" t="e">
        <f>AND(#REF!,"AAAAAH//1fo=")</f>
        <v>#REF!</v>
      </c>
      <c r="IR22" t="e">
        <f>AND(#REF!,"AAAAAH//1fs=")</f>
        <v>#REF!</v>
      </c>
      <c r="IS22" t="e">
        <f>AND(#REF!,"AAAAAH//1fw=")</f>
        <v>#REF!</v>
      </c>
      <c r="IT22" t="e">
        <f>AND(#REF!,"AAAAAH//1f0=")</f>
        <v>#REF!</v>
      </c>
      <c r="IU22" t="e">
        <f>AND(#REF!,"AAAAAH//1f4=")</f>
        <v>#REF!</v>
      </c>
      <c r="IV22" t="e">
        <f>AND(#REF!,"AAAAAH//1f8=")</f>
        <v>#REF!</v>
      </c>
    </row>
    <row r="23" spans="1:256" x14ac:dyDescent="0.25">
      <c r="A23" t="e">
        <f>AND(#REF!,"AAAAAH32vwA=")</f>
        <v>#REF!</v>
      </c>
      <c r="B23" t="e">
        <f>AND(#REF!,"AAAAAH32vwE=")</f>
        <v>#REF!</v>
      </c>
      <c r="C23" t="e">
        <f>AND(#REF!,"AAAAAH32vwI=")</f>
        <v>#REF!</v>
      </c>
      <c r="D23" t="e">
        <f>AND(#REF!,"AAAAAH32vwM=")</f>
        <v>#REF!</v>
      </c>
      <c r="E23" t="e">
        <f>AND(#REF!,"AAAAAH32vwQ=")</f>
        <v>#REF!</v>
      </c>
      <c r="F23" t="e">
        <f>AND(#REF!,"AAAAAH32vwU=")</f>
        <v>#REF!</v>
      </c>
      <c r="G23" t="e">
        <f>AND(#REF!,"AAAAAH32vwY=")</f>
        <v>#REF!</v>
      </c>
      <c r="H23" t="e">
        <f>AND(#REF!,"AAAAAH32vwc=")</f>
        <v>#REF!</v>
      </c>
      <c r="I23" t="e">
        <f>AND(#REF!,"AAAAAH32vwg=")</f>
        <v>#REF!</v>
      </c>
      <c r="J23" t="e">
        <f>AND(#REF!,"AAAAAH32vwk=")</f>
        <v>#REF!</v>
      </c>
      <c r="K23" t="e">
        <f>AND(#REF!,"AAAAAH32vwo=")</f>
        <v>#REF!</v>
      </c>
      <c r="L23" t="e">
        <f>AND(#REF!,"AAAAAH32vws=")</f>
        <v>#REF!</v>
      </c>
      <c r="M23" t="e">
        <f>AND(#REF!,"AAAAAH32vww=")</f>
        <v>#REF!</v>
      </c>
      <c r="N23" t="e">
        <f>AND(#REF!,"AAAAAH32vw0=")</f>
        <v>#REF!</v>
      </c>
      <c r="O23" t="e">
        <f>AND(#REF!,"AAAAAH32vw4=")</f>
        <v>#REF!</v>
      </c>
      <c r="P23" t="e">
        <f>IF(#REF!,"AAAAAH32vw8=",0)</f>
        <v>#REF!</v>
      </c>
      <c r="Q23" t="e">
        <f>AND(#REF!,"AAAAAH32vxA=")</f>
        <v>#REF!</v>
      </c>
      <c r="R23" t="e">
        <f>AND(#REF!,"AAAAAH32vxE=")</f>
        <v>#REF!</v>
      </c>
      <c r="S23" t="e">
        <f>AND(#REF!,"AAAAAH32vxI=")</f>
        <v>#REF!</v>
      </c>
      <c r="T23" t="e">
        <f>AND(#REF!,"AAAAAH32vxM=")</f>
        <v>#REF!</v>
      </c>
      <c r="U23" t="e">
        <f>AND(#REF!,"AAAAAH32vxQ=")</f>
        <v>#REF!</v>
      </c>
      <c r="V23" t="e">
        <f>AND(#REF!,"AAAAAH32vxU=")</f>
        <v>#REF!</v>
      </c>
      <c r="W23" t="e">
        <f>AND(#REF!,"AAAAAH32vxY=")</f>
        <v>#REF!</v>
      </c>
      <c r="X23" t="e">
        <f>AND(#REF!,"AAAAAH32vxc=")</f>
        <v>#REF!</v>
      </c>
      <c r="Y23" t="e">
        <f>AND(#REF!,"AAAAAH32vxg=")</f>
        <v>#REF!</v>
      </c>
      <c r="Z23" t="e">
        <f>AND(#REF!,"AAAAAH32vxk=")</f>
        <v>#REF!</v>
      </c>
      <c r="AA23" t="e">
        <f>AND(#REF!,"AAAAAH32vxo=")</f>
        <v>#REF!</v>
      </c>
      <c r="AB23" t="e">
        <f>AND(#REF!,"AAAAAH32vxs=")</f>
        <v>#REF!</v>
      </c>
      <c r="AC23" t="e">
        <f>AND(#REF!,"AAAAAH32vxw=")</f>
        <v>#REF!</v>
      </c>
      <c r="AD23" t="e">
        <f>AND(#REF!,"AAAAAH32vx0=")</f>
        <v>#REF!</v>
      </c>
      <c r="AE23" t="e">
        <f>AND(#REF!,"AAAAAH32vx4=")</f>
        <v>#REF!</v>
      </c>
      <c r="AF23" t="e">
        <f>AND(#REF!,"AAAAAH32vx8=")</f>
        <v>#REF!</v>
      </c>
      <c r="AG23" t="e">
        <f>AND(#REF!,"AAAAAH32vyA=")</f>
        <v>#REF!</v>
      </c>
      <c r="AH23" t="e">
        <f>AND(#REF!,"AAAAAH32vyE=")</f>
        <v>#REF!</v>
      </c>
      <c r="AI23" t="e">
        <f>AND(#REF!,"AAAAAH32vyI=")</f>
        <v>#REF!</v>
      </c>
      <c r="AJ23" t="e">
        <f>AND(#REF!,"AAAAAH32vyM=")</f>
        <v>#REF!</v>
      </c>
      <c r="AK23" t="e">
        <f>AND(#REF!,"AAAAAH32vyQ=")</f>
        <v>#REF!</v>
      </c>
      <c r="AL23" t="e">
        <f>AND(#REF!,"AAAAAH32vyU=")</f>
        <v>#REF!</v>
      </c>
      <c r="AM23" t="e">
        <f>AND(#REF!,"AAAAAH32vyY=")</f>
        <v>#REF!</v>
      </c>
      <c r="AN23" t="e">
        <f>AND(#REF!,"AAAAAH32vyc=")</f>
        <v>#REF!</v>
      </c>
      <c r="AO23" t="e">
        <f>AND(#REF!,"AAAAAH32vyg=")</f>
        <v>#REF!</v>
      </c>
      <c r="AP23" t="e">
        <f>AND(#REF!,"AAAAAH32vyk=")</f>
        <v>#REF!</v>
      </c>
      <c r="AQ23" t="e">
        <f>AND(#REF!,"AAAAAH32vyo=")</f>
        <v>#REF!</v>
      </c>
      <c r="AR23" t="e">
        <f>AND(#REF!,"AAAAAH32vys=")</f>
        <v>#REF!</v>
      </c>
      <c r="AS23" t="e">
        <f>AND(#REF!,"AAAAAH32vyw=")</f>
        <v>#REF!</v>
      </c>
      <c r="AT23" t="e">
        <f>AND(#REF!,"AAAAAH32vy0=")</f>
        <v>#REF!</v>
      </c>
      <c r="AU23" t="e">
        <f>AND(#REF!,"AAAAAH32vy4=")</f>
        <v>#REF!</v>
      </c>
      <c r="AV23" t="e">
        <f>AND(#REF!,"AAAAAH32vy8=")</f>
        <v>#REF!</v>
      </c>
      <c r="AW23" t="e">
        <f>AND(#REF!,"AAAAAH32vzA=")</f>
        <v>#REF!</v>
      </c>
      <c r="AX23" t="e">
        <f>AND(#REF!,"AAAAAH32vzE=")</f>
        <v>#REF!</v>
      </c>
      <c r="AY23" t="e">
        <f>AND(#REF!,"AAAAAH32vzI=")</f>
        <v>#REF!</v>
      </c>
      <c r="AZ23" t="e">
        <f>AND(#REF!,"AAAAAH32vzM=")</f>
        <v>#REF!</v>
      </c>
      <c r="BA23" t="e">
        <f>AND(#REF!,"AAAAAH32vzQ=")</f>
        <v>#REF!</v>
      </c>
      <c r="BB23" t="e">
        <f>AND(#REF!,"AAAAAH32vzU=")</f>
        <v>#REF!</v>
      </c>
      <c r="BC23" t="e">
        <f>AND(#REF!,"AAAAAH32vzY=")</f>
        <v>#REF!</v>
      </c>
      <c r="BD23" t="e">
        <f>AND(#REF!,"AAAAAH32vzc=")</f>
        <v>#REF!</v>
      </c>
      <c r="BE23" t="e">
        <f>AND(#REF!,"AAAAAH32vzg=")</f>
        <v>#REF!</v>
      </c>
      <c r="BF23" t="e">
        <f>AND(#REF!,"AAAAAH32vzk=")</f>
        <v>#REF!</v>
      </c>
      <c r="BG23" t="e">
        <f>AND(#REF!,"AAAAAH32vzo=")</f>
        <v>#REF!</v>
      </c>
      <c r="BH23" t="e">
        <f>AND(#REF!,"AAAAAH32vzs=")</f>
        <v>#REF!</v>
      </c>
      <c r="BI23" t="e">
        <f>AND(#REF!,"AAAAAH32vzw=")</f>
        <v>#REF!</v>
      </c>
      <c r="BJ23" t="e">
        <f>AND(#REF!,"AAAAAH32vz0=")</f>
        <v>#REF!</v>
      </c>
      <c r="BK23" t="e">
        <f>AND(#REF!,"AAAAAH32vz4=")</f>
        <v>#REF!</v>
      </c>
      <c r="BL23" t="e">
        <f>AND(#REF!,"AAAAAH32vz8=")</f>
        <v>#REF!</v>
      </c>
      <c r="BM23" t="e">
        <f>AND(#REF!,"AAAAAH32v0A=")</f>
        <v>#REF!</v>
      </c>
      <c r="BN23" t="e">
        <f>AND(#REF!,"AAAAAH32v0E=")</f>
        <v>#REF!</v>
      </c>
      <c r="BO23" t="e">
        <f>AND(#REF!,"AAAAAH32v0I=")</f>
        <v>#REF!</v>
      </c>
      <c r="BP23" t="e">
        <f>AND(#REF!,"AAAAAH32v0M=")</f>
        <v>#REF!</v>
      </c>
      <c r="BQ23" t="e">
        <f>AND(#REF!,"AAAAAH32v0Q=")</f>
        <v>#REF!</v>
      </c>
      <c r="BR23" t="e">
        <f>AND(#REF!,"AAAAAH32v0U=")</f>
        <v>#REF!</v>
      </c>
      <c r="BS23" t="e">
        <f>AND(#REF!,"AAAAAH32v0Y=")</f>
        <v>#REF!</v>
      </c>
      <c r="BT23" t="e">
        <f>AND(#REF!,"AAAAAH32v0c=")</f>
        <v>#REF!</v>
      </c>
      <c r="BU23" t="e">
        <f>AND(#REF!,"AAAAAH32v0g=")</f>
        <v>#REF!</v>
      </c>
      <c r="BV23" t="e">
        <f>AND(#REF!,"AAAAAH32v0k=")</f>
        <v>#REF!</v>
      </c>
      <c r="BW23" t="e">
        <f>AND(#REF!,"AAAAAH32v0o=")</f>
        <v>#REF!</v>
      </c>
      <c r="BX23" t="e">
        <f>AND(#REF!,"AAAAAH32v0s=")</f>
        <v>#REF!</v>
      </c>
      <c r="BY23" t="e">
        <f>AND(#REF!,"AAAAAH32v0w=")</f>
        <v>#REF!</v>
      </c>
      <c r="BZ23" t="e">
        <f>AND(#REF!,"AAAAAH32v00=")</f>
        <v>#REF!</v>
      </c>
      <c r="CA23" t="e">
        <f>AND(#REF!,"AAAAAH32v04=")</f>
        <v>#REF!</v>
      </c>
      <c r="CB23" t="e">
        <f>AND(#REF!,"AAAAAH32v08=")</f>
        <v>#REF!</v>
      </c>
      <c r="CC23" t="e">
        <f>AND(#REF!,"AAAAAH32v1A=")</f>
        <v>#REF!</v>
      </c>
      <c r="CD23" t="e">
        <f>AND(#REF!,"AAAAAH32v1E=")</f>
        <v>#REF!</v>
      </c>
      <c r="CE23" t="e">
        <f>AND(#REF!,"AAAAAH32v1I=")</f>
        <v>#REF!</v>
      </c>
      <c r="CF23" t="e">
        <f>AND(#REF!,"AAAAAH32v1M=")</f>
        <v>#REF!</v>
      </c>
      <c r="CG23" t="e">
        <f>AND(#REF!,"AAAAAH32v1Q=")</f>
        <v>#REF!</v>
      </c>
      <c r="CH23" t="e">
        <f>AND(#REF!,"AAAAAH32v1U=")</f>
        <v>#REF!</v>
      </c>
      <c r="CI23" t="e">
        <f>AND(#REF!,"AAAAAH32v1Y=")</f>
        <v>#REF!</v>
      </c>
      <c r="CJ23" t="e">
        <f>AND(#REF!,"AAAAAH32v1c=")</f>
        <v>#REF!</v>
      </c>
      <c r="CK23" t="e">
        <f>AND(#REF!,"AAAAAH32v1g=")</f>
        <v>#REF!</v>
      </c>
      <c r="CL23" t="e">
        <f>AND(#REF!,"AAAAAH32v1k=")</f>
        <v>#REF!</v>
      </c>
      <c r="CM23" t="e">
        <f>AND(#REF!,"AAAAAH32v1o=")</f>
        <v>#REF!</v>
      </c>
      <c r="CN23" t="e">
        <f>AND(#REF!,"AAAAAH32v1s=")</f>
        <v>#REF!</v>
      </c>
      <c r="CO23" t="e">
        <f>AND(#REF!,"AAAAAH32v1w=")</f>
        <v>#REF!</v>
      </c>
      <c r="CP23" t="e">
        <f>AND(#REF!,"AAAAAH32v10=")</f>
        <v>#REF!</v>
      </c>
      <c r="CQ23" t="e">
        <f>AND(#REF!,"AAAAAH32v14=")</f>
        <v>#REF!</v>
      </c>
      <c r="CR23" t="e">
        <f>AND(#REF!,"AAAAAH32v18=")</f>
        <v>#REF!</v>
      </c>
      <c r="CS23" t="e">
        <f>AND(#REF!,"AAAAAH32v2A=")</f>
        <v>#REF!</v>
      </c>
      <c r="CT23" t="e">
        <f>AND(#REF!,"AAAAAH32v2E=")</f>
        <v>#REF!</v>
      </c>
      <c r="CU23" t="e">
        <f>AND(#REF!,"AAAAAH32v2I=")</f>
        <v>#REF!</v>
      </c>
      <c r="CV23" t="e">
        <f>AND(#REF!,"AAAAAH32v2M=")</f>
        <v>#REF!</v>
      </c>
      <c r="CW23" t="e">
        <f>AND(#REF!,"AAAAAH32v2Q=")</f>
        <v>#REF!</v>
      </c>
      <c r="CX23" t="e">
        <f>AND(#REF!,"AAAAAH32v2U=")</f>
        <v>#REF!</v>
      </c>
      <c r="CY23" t="e">
        <f>AND(#REF!,"AAAAAH32v2Y=")</f>
        <v>#REF!</v>
      </c>
      <c r="CZ23" t="e">
        <f>AND(#REF!,"AAAAAH32v2c=")</f>
        <v>#REF!</v>
      </c>
      <c r="DA23" t="e">
        <f>AND(#REF!,"AAAAAH32v2g=")</f>
        <v>#REF!</v>
      </c>
      <c r="DB23" t="e">
        <f>AND(#REF!,"AAAAAH32v2k=")</f>
        <v>#REF!</v>
      </c>
      <c r="DC23" t="e">
        <f>AND(#REF!,"AAAAAH32v2o=")</f>
        <v>#REF!</v>
      </c>
      <c r="DD23" t="e">
        <f>AND(#REF!,"AAAAAH32v2s=")</f>
        <v>#REF!</v>
      </c>
      <c r="DE23" t="e">
        <f>AND(#REF!,"AAAAAH32v2w=")</f>
        <v>#REF!</v>
      </c>
      <c r="DF23" t="e">
        <f>AND(#REF!,"AAAAAH32v20=")</f>
        <v>#REF!</v>
      </c>
      <c r="DG23" t="e">
        <f>AND(#REF!,"AAAAAH32v24=")</f>
        <v>#REF!</v>
      </c>
      <c r="DH23" t="e">
        <f>AND(#REF!,"AAAAAH32v28=")</f>
        <v>#REF!</v>
      </c>
      <c r="DI23" t="e">
        <f>AND(#REF!,"AAAAAH32v3A=")</f>
        <v>#REF!</v>
      </c>
      <c r="DJ23" t="e">
        <f>AND(#REF!,"AAAAAH32v3E=")</f>
        <v>#REF!</v>
      </c>
      <c r="DK23" t="e">
        <f>AND(#REF!,"AAAAAH32v3I=")</f>
        <v>#REF!</v>
      </c>
      <c r="DL23" t="e">
        <f>AND(#REF!,"AAAAAH32v3M=")</f>
        <v>#REF!</v>
      </c>
      <c r="DM23" t="e">
        <f>AND(#REF!,"AAAAAH32v3Q=")</f>
        <v>#REF!</v>
      </c>
      <c r="DN23" t="e">
        <f>AND(#REF!,"AAAAAH32v3U=")</f>
        <v>#REF!</v>
      </c>
      <c r="DO23" t="e">
        <f>AND(#REF!,"AAAAAH32v3Y=")</f>
        <v>#REF!</v>
      </c>
      <c r="DP23" t="e">
        <f>AND(#REF!,"AAAAAH32v3c=")</f>
        <v>#REF!</v>
      </c>
      <c r="DQ23" t="e">
        <f>AND(#REF!,"AAAAAH32v3g=")</f>
        <v>#REF!</v>
      </c>
      <c r="DR23" t="e">
        <f>AND(#REF!,"AAAAAH32v3k=")</f>
        <v>#REF!</v>
      </c>
      <c r="DS23" t="e">
        <f>AND(#REF!,"AAAAAH32v3o=")</f>
        <v>#REF!</v>
      </c>
      <c r="DT23" t="e">
        <f>AND(#REF!,"AAAAAH32v3s=")</f>
        <v>#REF!</v>
      </c>
      <c r="DU23" t="e">
        <f>AND(#REF!,"AAAAAH32v3w=")</f>
        <v>#REF!</v>
      </c>
      <c r="DV23" t="e">
        <f>AND(#REF!,"AAAAAH32v30=")</f>
        <v>#REF!</v>
      </c>
      <c r="DW23" t="e">
        <f>AND(#REF!,"AAAAAH32v34=")</f>
        <v>#REF!</v>
      </c>
      <c r="DX23" t="e">
        <f>AND(#REF!,"AAAAAH32v38=")</f>
        <v>#REF!</v>
      </c>
      <c r="DY23" t="e">
        <f>AND(#REF!,"AAAAAH32v4A=")</f>
        <v>#REF!</v>
      </c>
      <c r="DZ23" t="e">
        <f>AND(#REF!,"AAAAAH32v4E=")</f>
        <v>#REF!</v>
      </c>
      <c r="EA23" t="e">
        <f>AND(#REF!,"AAAAAH32v4I=")</f>
        <v>#REF!</v>
      </c>
      <c r="EB23" t="e">
        <f>AND(#REF!,"AAAAAH32v4M=")</f>
        <v>#REF!</v>
      </c>
      <c r="EC23" t="e">
        <f>AND(#REF!,"AAAAAH32v4Q=")</f>
        <v>#REF!</v>
      </c>
      <c r="ED23" t="e">
        <f>AND(#REF!,"AAAAAH32v4U=")</f>
        <v>#REF!</v>
      </c>
      <c r="EE23" t="e">
        <f>AND(#REF!,"AAAAAH32v4Y=")</f>
        <v>#REF!</v>
      </c>
      <c r="EF23" t="e">
        <f>AND(#REF!,"AAAAAH32v4c=")</f>
        <v>#REF!</v>
      </c>
      <c r="EG23" t="e">
        <f>AND(#REF!,"AAAAAH32v4g=")</f>
        <v>#REF!</v>
      </c>
      <c r="EH23" t="e">
        <f>AND(#REF!,"AAAAAH32v4k=")</f>
        <v>#REF!</v>
      </c>
      <c r="EI23" t="e">
        <f>AND(#REF!,"AAAAAH32v4o=")</f>
        <v>#REF!</v>
      </c>
      <c r="EJ23" t="e">
        <f>AND(#REF!,"AAAAAH32v4s=")</f>
        <v>#REF!</v>
      </c>
      <c r="EK23" t="e">
        <f>AND(#REF!,"AAAAAH32v4w=")</f>
        <v>#REF!</v>
      </c>
      <c r="EL23" t="e">
        <f>AND(#REF!,"AAAAAH32v40=")</f>
        <v>#REF!</v>
      </c>
      <c r="EM23" t="e">
        <f>AND(#REF!,"AAAAAH32v44=")</f>
        <v>#REF!</v>
      </c>
      <c r="EN23" t="e">
        <f>AND(#REF!,"AAAAAH32v48=")</f>
        <v>#REF!</v>
      </c>
      <c r="EO23" t="e">
        <f>AND(#REF!,"AAAAAH32v5A=")</f>
        <v>#REF!</v>
      </c>
      <c r="EP23" t="e">
        <f>AND(#REF!,"AAAAAH32v5E=")</f>
        <v>#REF!</v>
      </c>
      <c r="EQ23" t="e">
        <f>AND(#REF!,"AAAAAH32v5I=")</f>
        <v>#REF!</v>
      </c>
      <c r="ER23" t="e">
        <f>AND(#REF!,"AAAAAH32v5M=")</f>
        <v>#REF!</v>
      </c>
      <c r="ES23" t="e">
        <f>AND(#REF!,"AAAAAH32v5Q=")</f>
        <v>#REF!</v>
      </c>
      <c r="ET23" t="e">
        <f>AND(#REF!,"AAAAAH32v5U=")</f>
        <v>#REF!</v>
      </c>
      <c r="EU23" t="e">
        <f>AND(#REF!,"AAAAAH32v5Y=")</f>
        <v>#REF!</v>
      </c>
      <c r="EV23" t="e">
        <f>AND(#REF!,"AAAAAH32v5c=")</f>
        <v>#REF!</v>
      </c>
      <c r="EW23" t="e">
        <f>AND(#REF!,"AAAAAH32v5g=")</f>
        <v>#REF!</v>
      </c>
      <c r="EX23" t="e">
        <f>AND(#REF!,"AAAAAH32v5k=")</f>
        <v>#REF!</v>
      </c>
      <c r="EY23" t="e">
        <f>AND(#REF!,"AAAAAH32v5o=")</f>
        <v>#REF!</v>
      </c>
      <c r="EZ23" t="e">
        <f>AND(#REF!,"AAAAAH32v5s=")</f>
        <v>#REF!</v>
      </c>
      <c r="FA23" t="e">
        <f>AND(#REF!,"AAAAAH32v5w=")</f>
        <v>#REF!</v>
      </c>
      <c r="FB23" t="e">
        <f>AND(#REF!,"AAAAAH32v50=")</f>
        <v>#REF!</v>
      </c>
      <c r="FC23" t="e">
        <f>AND(#REF!,"AAAAAH32v54=")</f>
        <v>#REF!</v>
      </c>
      <c r="FD23" t="e">
        <f>AND(#REF!,"AAAAAH32v58=")</f>
        <v>#REF!</v>
      </c>
      <c r="FE23" t="e">
        <f>AND(#REF!,"AAAAAH32v6A=")</f>
        <v>#REF!</v>
      </c>
      <c r="FF23" t="e">
        <f>AND(#REF!,"AAAAAH32v6E=")</f>
        <v>#REF!</v>
      </c>
      <c r="FG23" t="e">
        <f>AND(#REF!,"AAAAAH32v6I=")</f>
        <v>#REF!</v>
      </c>
      <c r="FH23" t="e">
        <f>AND(#REF!,"AAAAAH32v6M=")</f>
        <v>#REF!</v>
      </c>
      <c r="FI23" t="e">
        <f>AND(#REF!,"AAAAAH32v6Q=")</f>
        <v>#REF!</v>
      </c>
      <c r="FJ23" t="e">
        <f>AND(#REF!,"AAAAAH32v6U=")</f>
        <v>#REF!</v>
      </c>
      <c r="FK23" t="e">
        <f>AND(#REF!,"AAAAAH32v6Y=")</f>
        <v>#REF!</v>
      </c>
      <c r="FL23" t="e">
        <f>AND(#REF!,"AAAAAH32v6c=")</f>
        <v>#REF!</v>
      </c>
      <c r="FM23" t="e">
        <f>AND(#REF!,"AAAAAH32v6g=")</f>
        <v>#REF!</v>
      </c>
      <c r="FN23" t="e">
        <f>AND(#REF!,"AAAAAH32v6k=")</f>
        <v>#REF!</v>
      </c>
      <c r="FO23" t="e">
        <f>AND(#REF!,"AAAAAH32v6o=")</f>
        <v>#REF!</v>
      </c>
      <c r="FP23" t="e">
        <f>AND(#REF!,"AAAAAH32v6s=")</f>
        <v>#REF!</v>
      </c>
      <c r="FQ23" t="e">
        <f>AND(#REF!,"AAAAAH32v6w=")</f>
        <v>#REF!</v>
      </c>
      <c r="FR23" t="e">
        <f>AND(#REF!,"AAAAAH32v60=")</f>
        <v>#REF!</v>
      </c>
      <c r="FS23" t="e">
        <f>AND(#REF!,"AAAAAH32v64=")</f>
        <v>#REF!</v>
      </c>
      <c r="FT23" t="e">
        <f>AND(#REF!,"AAAAAH32v68=")</f>
        <v>#REF!</v>
      </c>
      <c r="FU23" t="e">
        <f>AND(#REF!,"AAAAAH32v7A=")</f>
        <v>#REF!</v>
      </c>
      <c r="FV23" t="e">
        <f>AND(#REF!,"AAAAAH32v7E=")</f>
        <v>#REF!</v>
      </c>
      <c r="FW23" t="e">
        <f>AND(#REF!,"AAAAAH32v7I=")</f>
        <v>#REF!</v>
      </c>
      <c r="FX23" t="e">
        <f>AND(#REF!,"AAAAAH32v7M=")</f>
        <v>#REF!</v>
      </c>
      <c r="FY23" t="e">
        <f>AND(#REF!,"AAAAAH32v7Q=")</f>
        <v>#REF!</v>
      </c>
      <c r="FZ23" t="e">
        <f>AND(#REF!,"AAAAAH32v7U=")</f>
        <v>#REF!</v>
      </c>
      <c r="GA23" t="e">
        <f>AND(#REF!,"AAAAAH32v7Y=")</f>
        <v>#REF!</v>
      </c>
      <c r="GB23" t="e">
        <f>AND(#REF!,"AAAAAH32v7c=")</f>
        <v>#REF!</v>
      </c>
      <c r="GC23" t="e">
        <f>AND(#REF!,"AAAAAH32v7g=")</f>
        <v>#REF!</v>
      </c>
      <c r="GD23" t="e">
        <f>AND(#REF!,"AAAAAH32v7k=")</f>
        <v>#REF!</v>
      </c>
      <c r="GE23" t="e">
        <f>AND(#REF!,"AAAAAH32v7o=")</f>
        <v>#REF!</v>
      </c>
      <c r="GF23" t="e">
        <f>AND(#REF!,"AAAAAH32v7s=")</f>
        <v>#REF!</v>
      </c>
      <c r="GG23" t="e">
        <f>AND(#REF!,"AAAAAH32v7w=")</f>
        <v>#REF!</v>
      </c>
      <c r="GH23" t="e">
        <f>AND(#REF!,"AAAAAH32v70=")</f>
        <v>#REF!</v>
      </c>
      <c r="GI23" t="e">
        <f>AND(#REF!,"AAAAAH32v74=")</f>
        <v>#REF!</v>
      </c>
      <c r="GJ23" t="e">
        <f>AND(#REF!,"AAAAAH32v78=")</f>
        <v>#REF!</v>
      </c>
      <c r="GK23" t="e">
        <f>AND(#REF!,"AAAAAH32v8A=")</f>
        <v>#REF!</v>
      </c>
      <c r="GL23" t="e">
        <f>AND(#REF!,"AAAAAH32v8E=")</f>
        <v>#REF!</v>
      </c>
      <c r="GM23" t="e">
        <f>AND(#REF!,"AAAAAH32v8I=")</f>
        <v>#REF!</v>
      </c>
      <c r="GN23" t="e">
        <f>AND(#REF!,"AAAAAH32v8M=")</f>
        <v>#REF!</v>
      </c>
      <c r="GO23" t="e">
        <f>AND(#REF!,"AAAAAH32v8Q=")</f>
        <v>#REF!</v>
      </c>
      <c r="GP23" t="e">
        <f>AND(#REF!,"AAAAAH32v8U=")</f>
        <v>#REF!</v>
      </c>
      <c r="GQ23" t="e">
        <f>AND(#REF!,"AAAAAH32v8Y=")</f>
        <v>#REF!</v>
      </c>
      <c r="GR23" t="e">
        <f>AND(#REF!,"AAAAAH32v8c=")</f>
        <v>#REF!</v>
      </c>
      <c r="GS23" t="e">
        <f>AND(#REF!,"AAAAAH32v8g=")</f>
        <v>#REF!</v>
      </c>
      <c r="GT23" t="e">
        <f>AND(#REF!,"AAAAAH32v8k=")</f>
        <v>#REF!</v>
      </c>
      <c r="GU23" t="e">
        <f>AND(#REF!,"AAAAAH32v8o=")</f>
        <v>#REF!</v>
      </c>
      <c r="GV23" t="e">
        <f>AND(#REF!,"AAAAAH32v8s=")</f>
        <v>#REF!</v>
      </c>
      <c r="GW23" t="e">
        <f>AND(#REF!,"AAAAAH32v8w=")</f>
        <v>#REF!</v>
      </c>
      <c r="GX23" t="e">
        <f>AND(#REF!,"AAAAAH32v80=")</f>
        <v>#REF!</v>
      </c>
      <c r="GY23" t="e">
        <f>AND(#REF!,"AAAAAH32v84=")</f>
        <v>#REF!</v>
      </c>
      <c r="GZ23" t="e">
        <f>AND(#REF!,"AAAAAH32v88=")</f>
        <v>#REF!</v>
      </c>
      <c r="HA23" t="e">
        <f>AND(#REF!,"AAAAAH32v9A=")</f>
        <v>#REF!</v>
      </c>
      <c r="HB23" t="e">
        <f>AND(#REF!,"AAAAAH32v9E=")</f>
        <v>#REF!</v>
      </c>
      <c r="HC23" t="e">
        <f>AND(#REF!,"AAAAAH32v9I=")</f>
        <v>#REF!</v>
      </c>
      <c r="HD23" t="e">
        <f>AND(#REF!,"AAAAAH32v9M=")</f>
        <v>#REF!</v>
      </c>
      <c r="HE23" t="e">
        <f>AND(#REF!,"AAAAAH32v9Q=")</f>
        <v>#REF!</v>
      </c>
      <c r="HF23" t="e">
        <f>AND(#REF!,"AAAAAH32v9U=")</f>
        <v>#REF!</v>
      </c>
      <c r="HG23" t="e">
        <f>AND(#REF!,"AAAAAH32v9Y=")</f>
        <v>#REF!</v>
      </c>
      <c r="HH23" t="e">
        <f>AND(#REF!,"AAAAAH32v9c=")</f>
        <v>#REF!</v>
      </c>
      <c r="HI23" t="e">
        <f>AND(#REF!,"AAAAAH32v9g=")</f>
        <v>#REF!</v>
      </c>
      <c r="HJ23" t="e">
        <f>AND(#REF!,"AAAAAH32v9k=")</f>
        <v>#REF!</v>
      </c>
      <c r="HK23" t="e">
        <f>AND(#REF!,"AAAAAH32v9o=")</f>
        <v>#REF!</v>
      </c>
      <c r="HL23" t="e">
        <f>AND(#REF!,"AAAAAH32v9s=")</f>
        <v>#REF!</v>
      </c>
      <c r="HM23" t="e">
        <f>AND(#REF!,"AAAAAH32v9w=")</f>
        <v>#REF!</v>
      </c>
      <c r="HN23" t="e">
        <f>AND(#REF!,"AAAAAH32v90=")</f>
        <v>#REF!</v>
      </c>
      <c r="HO23" t="e">
        <f>AND(#REF!,"AAAAAH32v94=")</f>
        <v>#REF!</v>
      </c>
      <c r="HP23" t="e">
        <f>AND(#REF!,"AAAAAH32v98=")</f>
        <v>#REF!</v>
      </c>
      <c r="HQ23" t="e">
        <f>AND(#REF!,"AAAAAH32v+A=")</f>
        <v>#REF!</v>
      </c>
      <c r="HR23" t="e">
        <f>AND(#REF!,"AAAAAH32v+E=")</f>
        <v>#REF!</v>
      </c>
      <c r="HS23" t="e">
        <f>AND(#REF!,"AAAAAH32v+I=")</f>
        <v>#REF!</v>
      </c>
      <c r="HT23" t="e">
        <f>AND(#REF!,"AAAAAH32v+M=")</f>
        <v>#REF!</v>
      </c>
      <c r="HU23" t="e">
        <f>AND(#REF!,"AAAAAH32v+Q=")</f>
        <v>#REF!</v>
      </c>
      <c r="HV23" t="e">
        <f>AND(#REF!,"AAAAAH32v+U=")</f>
        <v>#REF!</v>
      </c>
      <c r="HW23" t="e">
        <f>AND(#REF!,"AAAAAH32v+Y=")</f>
        <v>#REF!</v>
      </c>
      <c r="HX23" t="e">
        <f>AND(#REF!,"AAAAAH32v+c=")</f>
        <v>#REF!</v>
      </c>
      <c r="HY23" t="e">
        <f>AND(#REF!,"AAAAAH32v+g=")</f>
        <v>#REF!</v>
      </c>
      <c r="HZ23" t="e">
        <f>AND(#REF!,"AAAAAH32v+k=")</f>
        <v>#REF!</v>
      </c>
      <c r="IA23" t="e">
        <f>AND(#REF!,"AAAAAH32v+o=")</f>
        <v>#REF!</v>
      </c>
      <c r="IB23" t="e">
        <f>AND(#REF!,"AAAAAH32v+s=")</f>
        <v>#REF!</v>
      </c>
      <c r="IC23" t="e">
        <f>AND(#REF!,"AAAAAH32v+w=")</f>
        <v>#REF!</v>
      </c>
      <c r="ID23" t="e">
        <f>AND(#REF!,"AAAAAH32v+0=")</f>
        <v>#REF!</v>
      </c>
      <c r="IE23" t="e">
        <f>AND(#REF!,"AAAAAH32v+4=")</f>
        <v>#REF!</v>
      </c>
      <c r="IF23" t="e">
        <f>AND(#REF!,"AAAAAH32v+8=")</f>
        <v>#REF!</v>
      </c>
      <c r="IG23" t="e">
        <f>AND(#REF!,"AAAAAH32v/A=")</f>
        <v>#REF!</v>
      </c>
      <c r="IH23" t="e">
        <f>AND(#REF!,"AAAAAH32v/E=")</f>
        <v>#REF!</v>
      </c>
      <c r="II23" t="e">
        <f>AND(#REF!,"AAAAAH32v/I=")</f>
        <v>#REF!</v>
      </c>
      <c r="IJ23" t="e">
        <f>AND(#REF!,"AAAAAH32v/M=")</f>
        <v>#REF!</v>
      </c>
      <c r="IK23" t="e">
        <f>AND(#REF!,"AAAAAH32v/Q=")</f>
        <v>#REF!</v>
      </c>
      <c r="IL23" t="e">
        <f>AND(#REF!,"AAAAAH32v/U=")</f>
        <v>#REF!</v>
      </c>
      <c r="IM23" t="e">
        <f>AND(#REF!,"AAAAAH32v/Y=")</f>
        <v>#REF!</v>
      </c>
      <c r="IN23" t="e">
        <f>AND(#REF!,"AAAAAH32v/c=")</f>
        <v>#REF!</v>
      </c>
      <c r="IO23" t="e">
        <f>AND(#REF!,"AAAAAH32v/g=")</f>
        <v>#REF!</v>
      </c>
      <c r="IP23" t="e">
        <f>AND(#REF!,"AAAAAH32v/k=")</f>
        <v>#REF!</v>
      </c>
      <c r="IQ23" t="e">
        <f>AND(#REF!,"AAAAAH32v/o=")</f>
        <v>#REF!</v>
      </c>
      <c r="IR23" t="e">
        <f>AND(#REF!,"AAAAAH32v/s=")</f>
        <v>#REF!</v>
      </c>
      <c r="IS23" t="e">
        <f>AND(#REF!,"AAAAAH32v/w=")</f>
        <v>#REF!</v>
      </c>
      <c r="IT23" t="e">
        <f>AND(#REF!,"AAAAAH32v/0=")</f>
        <v>#REF!</v>
      </c>
      <c r="IU23" t="e">
        <f>AND(#REF!,"AAAAAH32v/4=")</f>
        <v>#REF!</v>
      </c>
      <c r="IV23" t="e">
        <f>AND(#REF!,"AAAAAH32v/8=")</f>
        <v>#REF!</v>
      </c>
    </row>
    <row r="24" spans="1:256" x14ac:dyDescent="0.25">
      <c r="A24" t="e">
        <f>AND(#REF!,"AAAAAB3y/wA=")</f>
        <v>#REF!</v>
      </c>
      <c r="B24" t="e">
        <f>AND(#REF!,"AAAAAB3y/wE=")</f>
        <v>#REF!</v>
      </c>
      <c r="C24" t="e">
        <f>AND(#REF!,"AAAAAB3y/wI=")</f>
        <v>#REF!</v>
      </c>
      <c r="D24" t="e">
        <f>AND(#REF!,"AAAAAB3y/wM=")</f>
        <v>#REF!</v>
      </c>
      <c r="E24" t="e">
        <f>AND(#REF!,"AAAAAB3y/wQ=")</f>
        <v>#REF!</v>
      </c>
      <c r="F24" t="e">
        <f>AND(#REF!,"AAAAAB3y/wU=")</f>
        <v>#REF!</v>
      </c>
      <c r="G24" t="e">
        <f>AND(#REF!,"AAAAAB3y/wY=")</f>
        <v>#REF!</v>
      </c>
      <c r="H24" t="e">
        <f>AND(#REF!,"AAAAAB3y/wc=")</f>
        <v>#REF!</v>
      </c>
      <c r="I24" t="e">
        <f>AND(#REF!,"AAAAAB3y/wg=")</f>
        <v>#REF!</v>
      </c>
      <c r="J24" t="e">
        <f>AND(#REF!,"AAAAAB3y/wk=")</f>
        <v>#REF!</v>
      </c>
      <c r="K24" t="e">
        <f>AND(#REF!,"AAAAAB3y/wo=")</f>
        <v>#REF!</v>
      </c>
      <c r="L24" t="e">
        <f>AND(#REF!,"AAAAAB3y/ws=")</f>
        <v>#REF!</v>
      </c>
      <c r="M24" t="e">
        <f>AND(#REF!,"AAAAAB3y/ww=")</f>
        <v>#REF!</v>
      </c>
      <c r="N24" t="e">
        <f>AND(#REF!,"AAAAAB3y/w0=")</f>
        <v>#REF!</v>
      </c>
      <c r="O24" t="e">
        <f>AND(#REF!,"AAAAAB3y/w4=")</f>
        <v>#REF!</v>
      </c>
      <c r="P24" t="e">
        <f>AND(#REF!,"AAAAAB3y/w8=")</f>
        <v>#REF!</v>
      </c>
      <c r="Q24" t="e">
        <f>IF(#REF!,"AAAAAB3y/xA=",0)</f>
        <v>#REF!</v>
      </c>
      <c r="R24" t="e">
        <f>AND(#REF!,"AAAAAB3y/xE=")</f>
        <v>#REF!</v>
      </c>
      <c r="S24" t="e">
        <f>AND(#REF!,"AAAAAB3y/xI=")</f>
        <v>#REF!</v>
      </c>
      <c r="T24" t="e">
        <f>AND(#REF!,"AAAAAB3y/xM=")</f>
        <v>#REF!</v>
      </c>
      <c r="U24" t="e">
        <f>AND(#REF!,"AAAAAB3y/xQ=")</f>
        <v>#REF!</v>
      </c>
      <c r="V24" t="e">
        <f>AND(#REF!,"AAAAAB3y/xU=")</f>
        <v>#REF!</v>
      </c>
      <c r="W24" t="e">
        <f>AND(#REF!,"AAAAAB3y/xY=")</f>
        <v>#REF!</v>
      </c>
      <c r="X24" t="e">
        <f>AND(#REF!,"AAAAAB3y/xc=")</f>
        <v>#REF!</v>
      </c>
      <c r="Y24" t="e">
        <f>AND(#REF!,"AAAAAB3y/xg=")</f>
        <v>#REF!</v>
      </c>
      <c r="Z24" t="e">
        <f>AND(#REF!,"AAAAAB3y/xk=")</f>
        <v>#REF!</v>
      </c>
      <c r="AA24" t="e">
        <f>AND(#REF!,"AAAAAB3y/xo=")</f>
        <v>#REF!</v>
      </c>
      <c r="AB24" t="e">
        <f>AND(#REF!,"AAAAAB3y/xs=")</f>
        <v>#REF!</v>
      </c>
      <c r="AC24" t="e">
        <f>AND(#REF!,"AAAAAB3y/xw=")</f>
        <v>#REF!</v>
      </c>
      <c r="AD24" t="e">
        <f>AND(#REF!,"AAAAAB3y/x0=")</f>
        <v>#REF!</v>
      </c>
      <c r="AE24" t="e">
        <f>AND(#REF!,"AAAAAB3y/x4=")</f>
        <v>#REF!</v>
      </c>
      <c r="AF24" t="e">
        <f>AND(#REF!,"AAAAAB3y/x8=")</f>
        <v>#REF!</v>
      </c>
      <c r="AG24" t="e">
        <f>AND(#REF!,"AAAAAB3y/yA=")</f>
        <v>#REF!</v>
      </c>
      <c r="AH24" t="e">
        <f>AND(#REF!,"AAAAAB3y/yE=")</f>
        <v>#REF!</v>
      </c>
      <c r="AI24" t="e">
        <f>AND(#REF!,"AAAAAB3y/yI=")</f>
        <v>#REF!</v>
      </c>
      <c r="AJ24" t="e">
        <f>AND(#REF!,"AAAAAB3y/yM=")</f>
        <v>#REF!</v>
      </c>
      <c r="AK24" t="e">
        <f>AND(#REF!,"AAAAAB3y/yQ=")</f>
        <v>#REF!</v>
      </c>
      <c r="AL24" t="e">
        <f>AND(#REF!,"AAAAAB3y/yU=")</f>
        <v>#REF!</v>
      </c>
      <c r="AM24" t="e">
        <f>AND(#REF!,"AAAAAB3y/yY=")</f>
        <v>#REF!</v>
      </c>
      <c r="AN24" t="e">
        <f>AND(#REF!,"AAAAAB3y/yc=")</f>
        <v>#REF!</v>
      </c>
      <c r="AO24" t="e">
        <f>AND(#REF!,"AAAAAB3y/yg=")</f>
        <v>#REF!</v>
      </c>
      <c r="AP24" t="e">
        <f>AND(#REF!,"AAAAAB3y/yk=")</f>
        <v>#REF!</v>
      </c>
      <c r="AQ24" t="e">
        <f>AND(#REF!,"AAAAAB3y/yo=")</f>
        <v>#REF!</v>
      </c>
      <c r="AR24" t="e">
        <f>AND(#REF!,"AAAAAB3y/ys=")</f>
        <v>#REF!</v>
      </c>
      <c r="AS24" t="e">
        <f>AND(#REF!,"AAAAAB3y/yw=")</f>
        <v>#REF!</v>
      </c>
      <c r="AT24" t="e">
        <f>AND(#REF!,"AAAAAB3y/y0=")</f>
        <v>#REF!</v>
      </c>
      <c r="AU24" t="e">
        <f>AND(#REF!,"AAAAAB3y/y4=")</f>
        <v>#REF!</v>
      </c>
      <c r="AV24" t="e">
        <f>AND(#REF!,"AAAAAB3y/y8=")</f>
        <v>#REF!</v>
      </c>
      <c r="AW24" t="e">
        <f>AND(#REF!,"AAAAAB3y/zA=")</f>
        <v>#REF!</v>
      </c>
      <c r="AX24" t="e">
        <f>AND(#REF!,"AAAAAB3y/zE=")</f>
        <v>#REF!</v>
      </c>
      <c r="AY24" t="e">
        <f>AND(#REF!,"AAAAAB3y/zI=")</f>
        <v>#REF!</v>
      </c>
      <c r="AZ24" t="e">
        <f>AND(#REF!,"AAAAAB3y/zM=")</f>
        <v>#REF!</v>
      </c>
      <c r="BA24" t="e">
        <f>AND(#REF!,"AAAAAB3y/zQ=")</f>
        <v>#REF!</v>
      </c>
      <c r="BB24" t="e">
        <f>AND(#REF!,"AAAAAB3y/zU=")</f>
        <v>#REF!</v>
      </c>
      <c r="BC24" t="e">
        <f>AND(#REF!,"AAAAAB3y/zY=")</f>
        <v>#REF!</v>
      </c>
      <c r="BD24" t="e">
        <f>AND(#REF!,"AAAAAB3y/zc=")</f>
        <v>#REF!</v>
      </c>
      <c r="BE24" t="e">
        <f>AND(#REF!,"AAAAAB3y/zg=")</f>
        <v>#REF!</v>
      </c>
      <c r="BF24" t="e">
        <f>AND(#REF!,"AAAAAB3y/zk=")</f>
        <v>#REF!</v>
      </c>
      <c r="BG24" t="e">
        <f>AND(#REF!,"AAAAAB3y/zo=")</f>
        <v>#REF!</v>
      </c>
      <c r="BH24" t="e">
        <f>AND(#REF!,"AAAAAB3y/zs=")</f>
        <v>#REF!</v>
      </c>
      <c r="BI24" t="e">
        <f>AND(#REF!,"AAAAAB3y/zw=")</f>
        <v>#REF!</v>
      </c>
      <c r="BJ24" t="e">
        <f>AND(#REF!,"AAAAAB3y/z0=")</f>
        <v>#REF!</v>
      </c>
      <c r="BK24" t="e">
        <f>AND(#REF!,"AAAAAB3y/z4=")</f>
        <v>#REF!</v>
      </c>
      <c r="BL24" t="e">
        <f>AND(#REF!,"AAAAAB3y/z8=")</f>
        <v>#REF!</v>
      </c>
      <c r="BM24" t="e">
        <f>AND(#REF!,"AAAAAB3y/0A=")</f>
        <v>#REF!</v>
      </c>
      <c r="BN24" t="e">
        <f>AND(#REF!,"AAAAAB3y/0E=")</f>
        <v>#REF!</v>
      </c>
      <c r="BO24" t="e">
        <f>AND(#REF!,"AAAAAB3y/0I=")</f>
        <v>#REF!</v>
      </c>
      <c r="BP24" t="e">
        <f>AND(#REF!,"AAAAAB3y/0M=")</f>
        <v>#REF!</v>
      </c>
      <c r="BQ24" t="e">
        <f>AND(#REF!,"AAAAAB3y/0Q=")</f>
        <v>#REF!</v>
      </c>
      <c r="BR24" t="e">
        <f>AND(#REF!,"AAAAAB3y/0U=")</f>
        <v>#REF!</v>
      </c>
      <c r="BS24" t="e">
        <f>AND(#REF!,"AAAAAB3y/0Y=")</f>
        <v>#REF!</v>
      </c>
      <c r="BT24" t="e">
        <f>AND(#REF!,"AAAAAB3y/0c=")</f>
        <v>#REF!</v>
      </c>
      <c r="BU24" t="e">
        <f>AND(#REF!,"AAAAAB3y/0g=")</f>
        <v>#REF!</v>
      </c>
      <c r="BV24" t="e">
        <f>AND(#REF!,"AAAAAB3y/0k=")</f>
        <v>#REF!</v>
      </c>
      <c r="BW24" t="e">
        <f>AND(#REF!,"AAAAAB3y/0o=")</f>
        <v>#REF!</v>
      </c>
      <c r="BX24" t="e">
        <f>AND(#REF!,"AAAAAB3y/0s=")</f>
        <v>#REF!</v>
      </c>
      <c r="BY24" t="e">
        <f>AND(#REF!,"AAAAAB3y/0w=")</f>
        <v>#REF!</v>
      </c>
      <c r="BZ24" t="e">
        <f>AND(#REF!,"AAAAAB3y/00=")</f>
        <v>#REF!</v>
      </c>
      <c r="CA24" t="e">
        <f>AND(#REF!,"AAAAAB3y/04=")</f>
        <v>#REF!</v>
      </c>
      <c r="CB24" t="e">
        <f>AND(#REF!,"AAAAAB3y/08=")</f>
        <v>#REF!</v>
      </c>
      <c r="CC24" t="e">
        <f>AND(#REF!,"AAAAAB3y/1A=")</f>
        <v>#REF!</v>
      </c>
      <c r="CD24" t="e">
        <f>AND(#REF!,"AAAAAB3y/1E=")</f>
        <v>#REF!</v>
      </c>
      <c r="CE24" t="e">
        <f>AND(#REF!,"AAAAAB3y/1I=")</f>
        <v>#REF!</v>
      </c>
      <c r="CF24" t="e">
        <f>AND(#REF!,"AAAAAB3y/1M=")</f>
        <v>#REF!</v>
      </c>
      <c r="CG24" t="e">
        <f>AND(#REF!,"AAAAAB3y/1Q=")</f>
        <v>#REF!</v>
      </c>
      <c r="CH24" t="e">
        <f>AND(#REF!,"AAAAAB3y/1U=")</f>
        <v>#REF!</v>
      </c>
      <c r="CI24" t="e">
        <f>AND(#REF!,"AAAAAB3y/1Y=")</f>
        <v>#REF!</v>
      </c>
      <c r="CJ24" t="e">
        <f>AND(#REF!,"AAAAAB3y/1c=")</f>
        <v>#REF!</v>
      </c>
      <c r="CK24" t="e">
        <f>AND(#REF!,"AAAAAB3y/1g=")</f>
        <v>#REF!</v>
      </c>
      <c r="CL24" t="e">
        <f>AND(#REF!,"AAAAAB3y/1k=")</f>
        <v>#REF!</v>
      </c>
      <c r="CM24" t="e">
        <f>AND(#REF!,"AAAAAB3y/1o=")</f>
        <v>#REF!</v>
      </c>
      <c r="CN24" t="e">
        <f>AND(#REF!,"AAAAAB3y/1s=")</f>
        <v>#REF!</v>
      </c>
      <c r="CO24" t="e">
        <f>AND(#REF!,"AAAAAB3y/1w=")</f>
        <v>#REF!</v>
      </c>
      <c r="CP24" t="e">
        <f>AND(#REF!,"AAAAAB3y/10=")</f>
        <v>#REF!</v>
      </c>
      <c r="CQ24" t="e">
        <f>AND(#REF!,"AAAAAB3y/14=")</f>
        <v>#REF!</v>
      </c>
      <c r="CR24" t="e">
        <f>AND(#REF!,"AAAAAB3y/18=")</f>
        <v>#REF!</v>
      </c>
      <c r="CS24" t="e">
        <f>AND(#REF!,"AAAAAB3y/2A=")</f>
        <v>#REF!</v>
      </c>
      <c r="CT24" t="e">
        <f>AND(#REF!,"AAAAAB3y/2E=")</f>
        <v>#REF!</v>
      </c>
      <c r="CU24" t="e">
        <f>AND(#REF!,"AAAAAB3y/2I=")</f>
        <v>#REF!</v>
      </c>
      <c r="CV24" t="e">
        <f>AND(#REF!,"AAAAAB3y/2M=")</f>
        <v>#REF!</v>
      </c>
      <c r="CW24" t="e">
        <f>AND(#REF!,"AAAAAB3y/2Q=")</f>
        <v>#REF!</v>
      </c>
      <c r="CX24" t="e">
        <f>AND(#REF!,"AAAAAB3y/2U=")</f>
        <v>#REF!</v>
      </c>
      <c r="CY24" t="e">
        <f>AND(#REF!,"AAAAAB3y/2Y=")</f>
        <v>#REF!</v>
      </c>
      <c r="CZ24" t="e">
        <f>AND(#REF!,"AAAAAB3y/2c=")</f>
        <v>#REF!</v>
      </c>
      <c r="DA24" t="e">
        <f>AND(#REF!,"AAAAAB3y/2g=")</f>
        <v>#REF!</v>
      </c>
      <c r="DB24" t="e">
        <f>AND(#REF!,"AAAAAB3y/2k=")</f>
        <v>#REF!</v>
      </c>
      <c r="DC24" t="e">
        <f>AND(#REF!,"AAAAAB3y/2o=")</f>
        <v>#REF!</v>
      </c>
      <c r="DD24" t="e">
        <f>AND(#REF!,"AAAAAB3y/2s=")</f>
        <v>#REF!</v>
      </c>
      <c r="DE24" t="e">
        <f>AND(#REF!,"AAAAAB3y/2w=")</f>
        <v>#REF!</v>
      </c>
      <c r="DF24" t="e">
        <f>AND(#REF!,"AAAAAB3y/20=")</f>
        <v>#REF!</v>
      </c>
      <c r="DG24" t="e">
        <f>AND(#REF!,"AAAAAB3y/24=")</f>
        <v>#REF!</v>
      </c>
      <c r="DH24" t="e">
        <f>AND(#REF!,"AAAAAB3y/28=")</f>
        <v>#REF!</v>
      </c>
      <c r="DI24" t="e">
        <f>AND(#REF!,"AAAAAB3y/3A=")</f>
        <v>#REF!</v>
      </c>
      <c r="DJ24" t="e">
        <f>AND(#REF!,"AAAAAB3y/3E=")</f>
        <v>#REF!</v>
      </c>
      <c r="DK24" t="e">
        <f>AND(#REF!,"AAAAAB3y/3I=")</f>
        <v>#REF!</v>
      </c>
      <c r="DL24" t="e">
        <f>AND(#REF!,"AAAAAB3y/3M=")</f>
        <v>#REF!</v>
      </c>
      <c r="DM24" t="e">
        <f>AND(#REF!,"AAAAAB3y/3Q=")</f>
        <v>#REF!</v>
      </c>
      <c r="DN24" t="e">
        <f>AND(#REF!,"AAAAAB3y/3U=")</f>
        <v>#REF!</v>
      </c>
      <c r="DO24" t="e">
        <f>AND(#REF!,"AAAAAB3y/3Y=")</f>
        <v>#REF!</v>
      </c>
      <c r="DP24" t="e">
        <f>AND(#REF!,"AAAAAB3y/3c=")</f>
        <v>#REF!</v>
      </c>
      <c r="DQ24" t="e">
        <f>AND(#REF!,"AAAAAB3y/3g=")</f>
        <v>#REF!</v>
      </c>
      <c r="DR24" t="e">
        <f>AND(#REF!,"AAAAAB3y/3k=")</f>
        <v>#REF!</v>
      </c>
      <c r="DS24" t="e">
        <f>AND(#REF!,"AAAAAB3y/3o=")</f>
        <v>#REF!</v>
      </c>
      <c r="DT24" t="e">
        <f>AND(#REF!,"AAAAAB3y/3s=")</f>
        <v>#REF!</v>
      </c>
      <c r="DU24" t="e">
        <f>AND(#REF!,"AAAAAB3y/3w=")</f>
        <v>#REF!</v>
      </c>
      <c r="DV24" t="e">
        <f>AND(#REF!,"AAAAAB3y/30=")</f>
        <v>#REF!</v>
      </c>
      <c r="DW24" t="e">
        <f>AND(#REF!,"AAAAAB3y/34=")</f>
        <v>#REF!</v>
      </c>
      <c r="DX24" t="e">
        <f>AND(#REF!,"AAAAAB3y/38=")</f>
        <v>#REF!</v>
      </c>
      <c r="DY24" t="e">
        <f>AND(#REF!,"AAAAAB3y/4A=")</f>
        <v>#REF!</v>
      </c>
      <c r="DZ24" t="e">
        <f>AND(#REF!,"AAAAAB3y/4E=")</f>
        <v>#REF!</v>
      </c>
      <c r="EA24" t="e">
        <f>AND(#REF!,"AAAAAB3y/4I=")</f>
        <v>#REF!</v>
      </c>
      <c r="EB24" t="e">
        <f>AND(#REF!,"AAAAAB3y/4M=")</f>
        <v>#REF!</v>
      </c>
      <c r="EC24" t="e">
        <f>AND(#REF!,"AAAAAB3y/4Q=")</f>
        <v>#REF!</v>
      </c>
      <c r="ED24" t="e">
        <f>AND(#REF!,"AAAAAB3y/4U=")</f>
        <v>#REF!</v>
      </c>
      <c r="EE24" t="e">
        <f>AND(#REF!,"AAAAAB3y/4Y=")</f>
        <v>#REF!</v>
      </c>
      <c r="EF24" t="e">
        <f>AND(#REF!,"AAAAAB3y/4c=")</f>
        <v>#REF!</v>
      </c>
      <c r="EG24" t="e">
        <f>AND(#REF!,"AAAAAB3y/4g=")</f>
        <v>#REF!</v>
      </c>
      <c r="EH24" t="e">
        <f>AND(#REF!,"AAAAAB3y/4k=")</f>
        <v>#REF!</v>
      </c>
      <c r="EI24" t="e">
        <f>AND(#REF!,"AAAAAB3y/4o=")</f>
        <v>#REF!</v>
      </c>
      <c r="EJ24" t="e">
        <f>AND(#REF!,"AAAAAB3y/4s=")</f>
        <v>#REF!</v>
      </c>
      <c r="EK24" t="e">
        <f>AND(#REF!,"AAAAAB3y/4w=")</f>
        <v>#REF!</v>
      </c>
      <c r="EL24" t="e">
        <f>AND(#REF!,"AAAAAB3y/40=")</f>
        <v>#REF!</v>
      </c>
      <c r="EM24" t="e">
        <f>AND(#REF!,"AAAAAB3y/44=")</f>
        <v>#REF!</v>
      </c>
      <c r="EN24" t="e">
        <f>AND(#REF!,"AAAAAB3y/48=")</f>
        <v>#REF!</v>
      </c>
      <c r="EO24" t="e">
        <f>AND(#REF!,"AAAAAB3y/5A=")</f>
        <v>#REF!</v>
      </c>
      <c r="EP24" t="e">
        <f>AND(#REF!,"AAAAAB3y/5E=")</f>
        <v>#REF!</v>
      </c>
      <c r="EQ24" t="e">
        <f>AND(#REF!,"AAAAAB3y/5I=")</f>
        <v>#REF!</v>
      </c>
      <c r="ER24" t="e">
        <f>AND(#REF!,"AAAAAB3y/5M=")</f>
        <v>#REF!</v>
      </c>
      <c r="ES24" t="e">
        <f>AND(#REF!,"AAAAAB3y/5Q=")</f>
        <v>#REF!</v>
      </c>
      <c r="ET24" t="e">
        <f>AND(#REF!,"AAAAAB3y/5U=")</f>
        <v>#REF!</v>
      </c>
      <c r="EU24" t="e">
        <f>AND(#REF!,"AAAAAB3y/5Y=")</f>
        <v>#REF!</v>
      </c>
      <c r="EV24" t="e">
        <f>AND(#REF!,"AAAAAB3y/5c=")</f>
        <v>#REF!</v>
      </c>
      <c r="EW24" t="e">
        <f>AND(#REF!,"AAAAAB3y/5g=")</f>
        <v>#REF!</v>
      </c>
      <c r="EX24" t="e">
        <f>AND(#REF!,"AAAAAB3y/5k=")</f>
        <v>#REF!</v>
      </c>
      <c r="EY24" t="e">
        <f>AND(#REF!,"AAAAAB3y/5o=")</f>
        <v>#REF!</v>
      </c>
      <c r="EZ24" t="e">
        <f>AND(#REF!,"AAAAAB3y/5s=")</f>
        <v>#REF!</v>
      </c>
      <c r="FA24" t="e">
        <f>AND(#REF!,"AAAAAB3y/5w=")</f>
        <v>#REF!</v>
      </c>
      <c r="FB24" t="e">
        <f>AND(#REF!,"AAAAAB3y/50=")</f>
        <v>#REF!</v>
      </c>
      <c r="FC24" t="e">
        <f>AND(#REF!,"AAAAAB3y/54=")</f>
        <v>#REF!</v>
      </c>
      <c r="FD24" t="e">
        <f>AND(#REF!,"AAAAAB3y/58=")</f>
        <v>#REF!</v>
      </c>
      <c r="FE24" t="e">
        <f>AND(#REF!,"AAAAAB3y/6A=")</f>
        <v>#REF!</v>
      </c>
      <c r="FF24" t="e">
        <f>AND(#REF!,"AAAAAB3y/6E=")</f>
        <v>#REF!</v>
      </c>
      <c r="FG24" t="e">
        <f>AND(#REF!,"AAAAAB3y/6I=")</f>
        <v>#REF!</v>
      </c>
      <c r="FH24" t="e">
        <f>AND(#REF!,"AAAAAB3y/6M=")</f>
        <v>#REF!</v>
      </c>
      <c r="FI24" t="e">
        <f>AND(#REF!,"AAAAAB3y/6Q=")</f>
        <v>#REF!</v>
      </c>
      <c r="FJ24" t="e">
        <f>AND(#REF!,"AAAAAB3y/6U=")</f>
        <v>#REF!</v>
      </c>
      <c r="FK24" t="e">
        <f>AND(#REF!,"AAAAAB3y/6Y=")</f>
        <v>#REF!</v>
      </c>
      <c r="FL24" t="e">
        <f>AND(#REF!,"AAAAAB3y/6c=")</f>
        <v>#REF!</v>
      </c>
      <c r="FM24" t="e">
        <f>AND(#REF!,"AAAAAB3y/6g=")</f>
        <v>#REF!</v>
      </c>
      <c r="FN24" t="e">
        <f>AND(#REF!,"AAAAAB3y/6k=")</f>
        <v>#REF!</v>
      </c>
      <c r="FO24" t="e">
        <f>AND(#REF!,"AAAAAB3y/6o=")</f>
        <v>#REF!</v>
      </c>
      <c r="FP24" t="e">
        <f>AND(#REF!,"AAAAAB3y/6s=")</f>
        <v>#REF!</v>
      </c>
      <c r="FQ24" t="e">
        <f>AND(#REF!,"AAAAAB3y/6w=")</f>
        <v>#REF!</v>
      </c>
      <c r="FR24" t="e">
        <f>AND(#REF!,"AAAAAB3y/60=")</f>
        <v>#REF!</v>
      </c>
      <c r="FS24" t="e">
        <f>AND(#REF!,"AAAAAB3y/64=")</f>
        <v>#REF!</v>
      </c>
      <c r="FT24" t="e">
        <f>AND(#REF!,"AAAAAB3y/68=")</f>
        <v>#REF!</v>
      </c>
      <c r="FU24" t="e">
        <f>AND(#REF!,"AAAAAB3y/7A=")</f>
        <v>#REF!</v>
      </c>
      <c r="FV24" t="e">
        <f>AND(#REF!,"AAAAAB3y/7E=")</f>
        <v>#REF!</v>
      </c>
      <c r="FW24" t="e">
        <f>AND(#REF!,"AAAAAB3y/7I=")</f>
        <v>#REF!</v>
      </c>
      <c r="FX24" t="e">
        <f>AND(#REF!,"AAAAAB3y/7M=")</f>
        <v>#REF!</v>
      </c>
      <c r="FY24" t="e">
        <f>AND(#REF!,"AAAAAB3y/7Q=")</f>
        <v>#REF!</v>
      </c>
      <c r="FZ24" t="e">
        <f>AND(#REF!,"AAAAAB3y/7U=")</f>
        <v>#REF!</v>
      </c>
      <c r="GA24" t="e">
        <f>AND(#REF!,"AAAAAB3y/7Y=")</f>
        <v>#REF!</v>
      </c>
      <c r="GB24" t="e">
        <f>AND(#REF!,"AAAAAB3y/7c=")</f>
        <v>#REF!</v>
      </c>
      <c r="GC24" t="e">
        <f>AND(#REF!,"AAAAAB3y/7g=")</f>
        <v>#REF!</v>
      </c>
      <c r="GD24" t="e">
        <f>AND(#REF!,"AAAAAB3y/7k=")</f>
        <v>#REF!</v>
      </c>
      <c r="GE24" t="e">
        <f>AND(#REF!,"AAAAAB3y/7o=")</f>
        <v>#REF!</v>
      </c>
      <c r="GF24" t="e">
        <f>AND(#REF!,"AAAAAB3y/7s=")</f>
        <v>#REF!</v>
      </c>
      <c r="GG24" t="e">
        <f>AND(#REF!,"AAAAAB3y/7w=")</f>
        <v>#REF!</v>
      </c>
      <c r="GH24" t="e">
        <f>AND(#REF!,"AAAAAB3y/70=")</f>
        <v>#REF!</v>
      </c>
      <c r="GI24" t="e">
        <f>AND(#REF!,"AAAAAB3y/74=")</f>
        <v>#REF!</v>
      </c>
      <c r="GJ24" t="e">
        <f>AND(#REF!,"AAAAAB3y/78=")</f>
        <v>#REF!</v>
      </c>
      <c r="GK24" t="e">
        <f>AND(#REF!,"AAAAAB3y/8A=")</f>
        <v>#REF!</v>
      </c>
      <c r="GL24" t="e">
        <f>AND(#REF!,"AAAAAB3y/8E=")</f>
        <v>#REF!</v>
      </c>
      <c r="GM24" t="e">
        <f>AND(#REF!,"AAAAAB3y/8I=")</f>
        <v>#REF!</v>
      </c>
      <c r="GN24" t="e">
        <f>AND(#REF!,"AAAAAB3y/8M=")</f>
        <v>#REF!</v>
      </c>
      <c r="GO24" t="e">
        <f>AND(#REF!,"AAAAAB3y/8Q=")</f>
        <v>#REF!</v>
      </c>
      <c r="GP24" t="e">
        <f>AND(#REF!,"AAAAAB3y/8U=")</f>
        <v>#REF!</v>
      </c>
      <c r="GQ24" t="e">
        <f>AND(#REF!,"AAAAAB3y/8Y=")</f>
        <v>#REF!</v>
      </c>
      <c r="GR24" t="e">
        <f>AND(#REF!,"AAAAAB3y/8c=")</f>
        <v>#REF!</v>
      </c>
      <c r="GS24" t="e">
        <f>AND(#REF!,"AAAAAB3y/8g=")</f>
        <v>#REF!</v>
      </c>
      <c r="GT24" t="e">
        <f>AND(#REF!,"AAAAAB3y/8k=")</f>
        <v>#REF!</v>
      </c>
      <c r="GU24" t="e">
        <f>AND(#REF!,"AAAAAB3y/8o=")</f>
        <v>#REF!</v>
      </c>
      <c r="GV24" t="e">
        <f>AND(#REF!,"AAAAAB3y/8s=")</f>
        <v>#REF!</v>
      </c>
      <c r="GW24" t="e">
        <f>AND(#REF!,"AAAAAB3y/8w=")</f>
        <v>#REF!</v>
      </c>
      <c r="GX24" t="e">
        <f>AND(#REF!,"AAAAAB3y/80=")</f>
        <v>#REF!</v>
      </c>
      <c r="GY24" t="e">
        <f>AND(#REF!,"AAAAAB3y/84=")</f>
        <v>#REF!</v>
      </c>
      <c r="GZ24" t="e">
        <f>AND(#REF!,"AAAAAB3y/88=")</f>
        <v>#REF!</v>
      </c>
      <c r="HA24" t="e">
        <f>AND(#REF!,"AAAAAB3y/9A=")</f>
        <v>#REF!</v>
      </c>
      <c r="HB24" t="e">
        <f>AND(#REF!,"AAAAAB3y/9E=")</f>
        <v>#REF!</v>
      </c>
      <c r="HC24" t="e">
        <f>AND(#REF!,"AAAAAB3y/9I=")</f>
        <v>#REF!</v>
      </c>
      <c r="HD24" t="e">
        <f>AND(#REF!,"AAAAAB3y/9M=")</f>
        <v>#REF!</v>
      </c>
      <c r="HE24" t="e">
        <f>AND(#REF!,"AAAAAB3y/9Q=")</f>
        <v>#REF!</v>
      </c>
      <c r="HF24" t="e">
        <f>AND(#REF!,"AAAAAB3y/9U=")</f>
        <v>#REF!</v>
      </c>
      <c r="HG24" t="e">
        <f>AND(#REF!,"AAAAAB3y/9Y=")</f>
        <v>#REF!</v>
      </c>
      <c r="HH24" t="e">
        <f>AND(#REF!,"AAAAAB3y/9c=")</f>
        <v>#REF!</v>
      </c>
      <c r="HI24" t="e">
        <f>AND(#REF!,"AAAAAB3y/9g=")</f>
        <v>#REF!</v>
      </c>
      <c r="HJ24" t="e">
        <f>AND(#REF!,"AAAAAB3y/9k=")</f>
        <v>#REF!</v>
      </c>
      <c r="HK24" t="e">
        <f>AND(#REF!,"AAAAAB3y/9o=")</f>
        <v>#REF!</v>
      </c>
      <c r="HL24" t="e">
        <f>AND(#REF!,"AAAAAB3y/9s=")</f>
        <v>#REF!</v>
      </c>
      <c r="HM24" t="e">
        <f>AND(#REF!,"AAAAAB3y/9w=")</f>
        <v>#REF!</v>
      </c>
      <c r="HN24" t="e">
        <f>AND(#REF!,"AAAAAB3y/90=")</f>
        <v>#REF!</v>
      </c>
      <c r="HO24" t="e">
        <f>AND(#REF!,"AAAAAB3y/94=")</f>
        <v>#REF!</v>
      </c>
      <c r="HP24" t="e">
        <f>AND(#REF!,"AAAAAB3y/98=")</f>
        <v>#REF!</v>
      </c>
      <c r="HQ24" t="e">
        <f>AND(#REF!,"AAAAAB3y/+A=")</f>
        <v>#REF!</v>
      </c>
      <c r="HR24" t="e">
        <f>AND(#REF!,"AAAAAB3y/+E=")</f>
        <v>#REF!</v>
      </c>
      <c r="HS24" t="e">
        <f>AND(#REF!,"AAAAAB3y/+I=")</f>
        <v>#REF!</v>
      </c>
      <c r="HT24" t="e">
        <f>AND(#REF!,"AAAAAB3y/+M=")</f>
        <v>#REF!</v>
      </c>
      <c r="HU24" t="e">
        <f>AND(#REF!,"AAAAAB3y/+Q=")</f>
        <v>#REF!</v>
      </c>
      <c r="HV24" t="e">
        <f>AND(#REF!,"AAAAAB3y/+U=")</f>
        <v>#REF!</v>
      </c>
      <c r="HW24" t="e">
        <f>AND(#REF!,"AAAAAB3y/+Y=")</f>
        <v>#REF!</v>
      </c>
      <c r="HX24" t="e">
        <f>AND(#REF!,"AAAAAB3y/+c=")</f>
        <v>#REF!</v>
      </c>
      <c r="HY24" t="e">
        <f>AND(#REF!,"AAAAAB3y/+g=")</f>
        <v>#REF!</v>
      </c>
      <c r="HZ24" t="e">
        <f>AND(#REF!,"AAAAAB3y/+k=")</f>
        <v>#REF!</v>
      </c>
      <c r="IA24" t="e">
        <f>AND(#REF!,"AAAAAB3y/+o=")</f>
        <v>#REF!</v>
      </c>
      <c r="IB24" t="e">
        <f>AND(#REF!,"AAAAAB3y/+s=")</f>
        <v>#REF!</v>
      </c>
      <c r="IC24" t="e">
        <f>AND(#REF!,"AAAAAB3y/+w=")</f>
        <v>#REF!</v>
      </c>
      <c r="ID24" t="e">
        <f>AND(#REF!,"AAAAAB3y/+0=")</f>
        <v>#REF!</v>
      </c>
      <c r="IE24" t="e">
        <f>AND(#REF!,"AAAAAB3y/+4=")</f>
        <v>#REF!</v>
      </c>
      <c r="IF24" t="e">
        <f>AND(#REF!,"AAAAAB3y/+8=")</f>
        <v>#REF!</v>
      </c>
      <c r="IG24" t="e">
        <f>AND(#REF!,"AAAAAB3y//A=")</f>
        <v>#REF!</v>
      </c>
      <c r="IH24" t="e">
        <f>AND(#REF!,"AAAAAB3y//E=")</f>
        <v>#REF!</v>
      </c>
      <c r="II24" t="e">
        <f>AND(#REF!,"AAAAAB3y//I=")</f>
        <v>#REF!</v>
      </c>
      <c r="IJ24" t="e">
        <f>AND(#REF!,"AAAAAB3y//M=")</f>
        <v>#REF!</v>
      </c>
      <c r="IK24" t="e">
        <f>AND(#REF!,"AAAAAB3y//Q=")</f>
        <v>#REF!</v>
      </c>
      <c r="IL24" t="e">
        <f>AND(#REF!,"AAAAAB3y//U=")</f>
        <v>#REF!</v>
      </c>
      <c r="IM24" t="e">
        <f>AND(#REF!,"AAAAAB3y//Y=")</f>
        <v>#REF!</v>
      </c>
      <c r="IN24" t="e">
        <f>AND(#REF!,"AAAAAB3y//c=")</f>
        <v>#REF!</v>
      </c>
      <c r="IO24" t="e">
        <f>AND(#REF!,"AAAAAB3y//g=")</f>
        <v>#REF!</v>
      </c>
      <c r="IP24" t="e">
        <f>AND(#REF!,"AAAAAB3y//k=")</f>
        <v>#REF!</v>
      </c>
      <c r="IQ24" t="e">
        <f>AND(#REF!,"AAAAAB3y//o=")</f>
        <v>#REF!</v>
      </c>
      <c r="IR24" t="e">
        <f>AND(#REF!,"AAAAAB3y//s=")</f>
        <v>#REF!</v>
      </c>
      <c r="IS24" t="e">
        <f>AND(#REF!,"AAAAAB3y//w=")</f>
        <v>#REF!</v>
      </c>
      <c r="IT24" t="e">
        <f>AND(#REF!,"AAAAAB3y//0=")</f>
        <v>#REF!</v>
      </c>
      <c r="IU24" t="e">
        <f>AND(#REF!,"AAAAAB3y//4=")</f>
        <v>#REF!</v>
      </c>
      <c r="IV24" t="e">
        <f>AND(#REF!,"AAAAAB3y//8=")</f>
        <v>#REF!</v>
      </c>
    </row>
    <row r="25" spans="1:256" x14ac:dyDescent="0.25">
      <c r="A25" t="e">
        <f>AND(#REF!,"AAAAABd+TgA=")</f>
        <v>#REF!</v>
      </c>
      <c r="B25" t="e">
        <f>AND(#REF!,"AAAAABd+TgE=")</f>
        <v>#REF!</v>
      </c>
      <c r="C25" t="e">
        <f>AND(#REF!,"AAAAABd+TgI=")</f>
        <v>#REF!</v>
      </c>
      <c r="D25" t="e">
        <f>AND(#REF!,"AAAAABd+TgM=")</f>
        <v>#REF!</v>
      </c>
      <c r="E25" t="e">
        <f>AND(#REF!,"AAAAABd+TgQ=")</f>
        <v>#REF!</v>
      </c>
      <c r="F25" t="e">
        <f>AND(#REF!,"AAAAABd+TgU=")</f>
        <v>#REF!</v>
      </c>
      <c r="G25" t="e">
        <f>AND(#REF!,"AAAAABd+TgY=")</f>
        <v>#REF!</v>
      </c>
      <c r="H25" t="e">
        <f>AND(#REF!,"AAAAABd+Tgc=")</f>
        <v>#REF!</v>
      </c>
      <c r="I25" t="e">
        <f>AND(#REF!,"AAAAABd+Tgg=")</f>
        <v>#REF!</v>
      </c>
      <c r="J25" t="e">
        <f>AND(#REF!,"AAAAABd+Tgk=")</f>
        <v>#REF!</v>
      </c>
      <c r="K25" t="e">
        <f>AND(#REF!,"AAAAABd+Tgo=")</f>
        <v>#REF!</v>
      </c>
      <c r="L25" t="e">
        <f>AND(#REF!,"AAAAABd+Tgs=")</f>
        <v>#REF!</v>
      </c>
      <c r="M25" t="e">
        <f>AND(#REF!,"AAAAABd+Tgw=")</f>
        <v>#REF!</v>
      </c>
      <c r="N25" t="e">
        <f>AND(#REF!,"AAAAABd+Tg0=")</f>
        <v>#REF!</v>
      </c>
      <c r="O25" t="e">
        <f>AND(#REF!,"AAAAABd+Tg4=")</f>
        <v>#REF!</v>
      </c>
      <c r="P25" t="e">
        <f>AND(#REF!,"AAAAABd+Tg8=")</f>
        <v>#REF!</v>
      </c>
      <c r="Q25" t="e">
        <f>AND(#REF!,"AAAAABd+ThA=")</f>
        <v>#REF!</v>
      </c>
      <c r="R25" t="e">
        <f>IF(#REF!,"AAAAABd+ThE=",0)</f>
        <v>#REF!</v>
      </c>
      <c r="S25" t="e">
        <f>AND(#REF!,"AAAAABd+ThI=")</f>
        <v>#REF!</v>
      </c>
      <c r="T25" t="e">
        <f>AND(#REF!,"AAAAABd+ThM=")</f>
        <v>#REF!</v>
      </c>
      <c r="U25" t="e">
        <f>AND(#REF!,"AAAAABd+ThQ=")</f>
        <v>#REF!</v>
      </c>
      <c r="V25" t="e">
        <f>AND(#REF!,"AAAAABd+ThU=")</f>
        <v>#REF!</v>
      </c>
      <c r="W25" t="e">
        <f>AND(#REF!,"AAAAABd+ThY=")</f>
        <v>#REF!</v>
      </c>
      <c r="X25" t="e">
        <f>AND(#REF!,"AAAAABd+Thc=")</f>
        <v>#REF!</v>
      </c>
      <c r="Y25" t="e">
        <f>AND(#REF!,"AAAAABd+Thg=")</f>
        <v>#REF!</v>
      </c>
      <c r="Z25" t="e">
        <f>AND(#REF!,"AAAAABd+Thk=")</f>
        <v>#REF!</v>
      </c>
      <c r="AA25" t="e">
        <f>AND(#REF!,"AAAAABd+Tho=")</f>
        <v>#REF!</v>
      </c>
      <c r="AB25" t="e">
        <f>AND(#REF!,"AAAAABd+Ths=")</f>
        <v>#REF!</v>
      </c>
      <c r="AC25" t="e">
        <f>AND(#REF!,"AAAAABd+Thw=")</f>
        <v>#REF!</v>
      </c>
      <c r="AD25" t="e">
        <f>AND(#REF!,"AAAAABd+Th0=")</f>
        <v>#REF!</v>
      </c>
      <c r="AE25" t="e">
        <f>AND(#REF!,"AAAAABd+Th4=")</f>
        <v>#REF!</v>
      </c>
      <c r="AF25" t="e">
        <f>AND(#REF!,"AAAAABd+Th8=")</f>
        <v>#REF!</v>
      </c>
      <c r="AG25" t="e">
        <f>AND(#REF!,"AAAAABd+TiA=")</f>
        <v>#REF!</v>
      </c>
      <c r="AH25" t="e">
        <f>AND(#REF!,"AAAAABd+TiE=")</f>
        <v>#REF!</v>
      </c>
      <c r="AI25" t="e">
        <f>AND(#REF!,"AAAAABd+TiI=")</f>
        <v>#REF!</v>
      </c>
      <c r="AJ25" t="e">
        <f>AND(#REF!,"AAAAABd+TiM=")</f>
        <v>#REF!</v>
      </c>
      <c r="AK25" t="e">
        <f>AND(#REF!,"AAAAABd+TiQ=")</f>
        <v>#REF!</v>
      </c>
      <c r="AL25" t="e">
        <f>AND(#REF!,"AAAAABd+TiU=")</f>
        <v>#REF!</v>
      </c>
      <c r="AM25" t="e">
        <f>AND(#REF!,"AAAAABd+TiY=")</f>
        <v>#REF!</v>
      </c>
      <c r="AN25" t="e">
        <f>AND(#REF!,"AAAAABd+Tic=")</f>
        <v>#REF!</v>
      </c>
      <c r="AO25" t="e">
        <f>AND(#REF!,"AAAAABd+Tig=")</f>
        <v>#REF!</v>
      </c>
      <c r="AP25" t="e">
        <f>AND(#REF!,"AAAAABd+Tik=")</f>
        <v>#REF!</v>
      </c>
      <c r="AQ25" t="e">
        <f>AND(#REF!,"AAAAABd+Tio=")</f>
        <v>#REF!</v>
      </c>
      <c r="AR25" t="e">
        <f>AND(#REF!,"AAAAABd+Tis=")</f>
        <v>#REF!</v>
      </c>
      <c r="AS25" t="e">
        <f>AND(#REF!,"AAAAABd+Tiw=")</f>
        <v>#REF!</v>
      </c>
      <c r="AT25" t="e">
        <f>AND(#REF!,"AAAAABd+Ti0=")</f>
        <v>#REF!</v>
      </c>
      <c r="AU25" t="e">
        <f>AND(#REF!,"AAAAABd+Ti4=")</f>
        <v>#REF!</v>
      </c>
      <c r="AV25" t="e">
        <f>AND(#REF!,"AAAAABd+Ti8=")</f>
        <v>#REF!</v>
      </c>
      <c r="AW25" t="e">
        <f>AND(#REF!,"AAAAABd+TjA=")</f>
        <v>#REF!</v>
      </c>
      <c r="AX25" t="e">
        <f>AND(#REF!,"AAAAABd+TjE=")</f>
        <v>#REF!</v>
      </c>
      <c r="AY25" t="e">
        <f>AND(#REF!,"AAAAABd+TjI=")</f>
        <v>#REF!</v>
      </c>
      <c r="AZ25" t="e">
        <f>AND(#REF!,"AAAAABd+TjM=")</f>
        <v>#REF!</v>
      </c>
      <c r="BA25" t="e">
        <f>AND(#REF!,"AAAAABd+TjQ=")</f>
        <v>#REF!</v>
      </c>
      <c r="BB25" t="e">
        <f>AND(#REF!,"AAAAABd+TjU=")</f>
        <v>#REF!</v>
      </c>
      <c r="BC25" t="e">
        <f>AND(#REF!,"AAAAABd+TjY=")</f>
        <v>#REF!</v>
      </c>
      <c r="BD25" t="e">
        <f>AND(#REF!,"AAAAABd+Tjc=")</f>
        <v>#REF!</v>
      </c>
      <c r="BE25" t="e">
        <f>AND(#REF!,"AAAAABd+Tjg=")</f>
        <v>#REF!</v>
      </c>
      <c r="BF25" t="e">
        <f>AND(#REF!,"AAAAABd+Tjk=")</f>
        <v>#REF!</v>
      </c>
      <c r="BG25" t="e">
        <f>AND(#REF!,"AAAAABd+Tjo=")</f>
        <v>#REF!</v>
      </c>
      <c r="BH25" t="e">
        <f>AND(#REF!,"AAAAABd+Tjs=")</f>
        <v>#REF!</v>
      </c>
      <c r="BI25" t="e">
        <f>AND(#REF!,"AAAAABd+Tjw=")</f>
        <v>#REF!</v>
      </c>
      <c r="BJ25" t="e">
        <f>AND(#REF!,"AAAAABd+Tj0=")</f>
        <v>#REF!</v>
      </c>
      <c r="BK25" t="e">
        <f>AND(#REF!,"AAAAABd+Tj4=")</f>
        <v>#REF!</v>
      </c>
      <c r="BL25" t="e">
        <f>AND(#REF!,"AAAAABd+Tj8=")</f>
        <v>#REF!</v>
      </c>
      <c r="BM25" t="e">
        <f>AND(#REF!,"AAAAABd+TkA=")</f>
        <v>#REF!</v>
      </c>
      <c r="BN25" t="e">
        <f>AND(#REF!,"AAAAABd+TkE=")</f>
        <v>#REF!</v>
      </c>
      <c r="BO25" t="e">
        <f>AND(#REF!,"AAAAABd+TkI=")</f>
        <v>#REF!</v>
      </c>
      <c r="BP25" t="e">
        <f>AND(#REF!,"AAAAABd+TkM=")</f>
        <v>#REF!</v>
      </c>
      <c r="BQ25" t="e">
        <f>AND(#REF!,"AAAAABd+TkQ=")</f>
        <v>#REF!</v>
      </c>
      <c r="BR25" t="e">
        <f>AND(#REF!,"AAAAABd+TkU=")</f>
        <v>#REF!</v>
      </c>
      <c r="BS25" t="e">
        <f>AND(#REF!,"AAAAABd+TkY=")</f>
        <v>#REF!</v>
      </c>
      <c r="BT25" t="e">
        <f>AND(#REF!,"AAAAABd+Tkc=")</f>
        <v>#REF!</v>
      </c>
      <c r="BU25" t="e">
        <f>AND(#REF!,"AAAAABd+Tkg=")</f>
        <v>#REF!</v>
      </c>
      <c r="BV25" t="e">
        <f>AND(#REF!,"AAAAABd+Tkk=")</f>
        <v>#REF!</v>
      </c>
      <c r="BW25" t="e">
        <f>AND(#REF!,"AAAAABd+Tko=")</f>
        <v>#REF!</v>
      </c>
      <c r="BX25" t="e">
        <f>AND(#REF!,"AAAAABd+Tks=")</f>
        <v>#REF!</v>
      </c>
      <c r="BY25" t="e">
        <f>AND(#REF!,"AAAAABd+Tkw=")</f>
        <v>#REF!</v>
      </c>
      <c r="BZ25" t="e">
        <f>AND(#REF!,"AAAAABd+Tk0=")</f>
        <v>#REF!</v>
      </c>
      <c r="CA25" t="e">
        <f>AND(#REF!,"AAAAABd+Tk4=")</f>
        <v>#REF!</v>
      </c>
      <c r="CB25" t="e">
        <f>AND(#REF!,"AAAAABd+Tk8=")</f>
        <v>#REF!</v>
      </c>
      <c r="CC25" t="e">
        <f>AND(#REF!,"AAAAABd+TlA=")</f>
        <v>#REF!</v>
      </c>
      <c r="CD25" t="e">
        <f>AND(#REF!,"AAAAABd+TlE=")</f>
        <v>#REF!</v>
      </c>
      <c r="CE25" t="e">
        <f>AND(#REF!,"AAAAABd+TlI=")</f>
        <v>#REF!</v>
      </c>
      <c r="CF25" t="e">
        <f>AND(#REF!,"AAAAABd+TlM=")</f>
        <v>#REF!</v>
      </c>
      <c r="CG25" t="e">
        <f>AND(#REF!,"AAAAABd+TlQ=")</f>
        <v>#REF!</v>
      </c>
      <c r="CH25" t="e">
        <f>AND(#REF!,"AAAAABd+TlU=")</f>
        <v>#REF!</v>
      </c>
      <c r="CI25" t="e">
        <f>AND(#REF!,"AAAAABd+TlY=")</f>
        <v>#REF!</v>
      </c>
      <c r="CJ25" t="e">
        <f>AND(#REF!,"AAAAABd+Tlc=")</f>
        <v>#REF!</v>
      </c>
      <c r="CK25" t="e">
        <f>AND(#REF!,"AAAAABd+Tlg=")</f>
        <v>#REF!</v>
      </c>
      <c r="CL25" t="e">
        <f>AND(#REF!,"AAAAABd+Tlk=")</f>
        <v>#REF!</v>
      </c>
      <c r="CM25" t="e">
        <f>AND(#REF!,"AAAAABd+Tlo=")</f>
        <v>#REF!</v>
      </c>
      <c r="CN25" t="e">
        <f>AND(#REF!,"AAAAABd+Tls=")</f>
        <v>#REF!</v>
      </c>
      <c r="CO25" t="e">
        <f>AND(#REF!,"AAAAABd+Tlw=")</f>
        <v>#REF!</v>
      </c>
      <c r="CP25" t="e">
        <f>AND(#REF!,"AAAAABd+Tl0=")</f>
        <v>#REF!</v>
      </c>
      <c r="CQ25" t="e">
        <f>AND(#REF!,"AAAAABd+Tl4=")</f>
        <v>#REF!</v>
      </c>
      <c r="CR25" t="e">
        <f>AND(#REF!,"AAAAABd+Tl8=")</f>
        <v>#REF!</v>
      </c>
      <c r="CS25" t="e">
        <f>AND(#REF!,"AAAAABd+TmA=")</f>
        <v>#REF!</v>
      </c>
      <c r="CT25" t="e">
        <f>AND(#REF!,"AAAAABd+TmE=")</f>
        <v>#REF!</v>
      </c>
      <c r="CU25" t="e">
        <f>AND(#REF!,"AAAAABd+TmI=")</f>
        <v>#REF!</v>
      </c>
      <c r="CV25" t="e">
        <f>AND(#REF!,"AAAAABd+TmM=")</f>
        <v>#REF!</v>
      </c>
      <c r="CW25" t="e">
        <f>AND(#REF!,"AAAAABd+TmQ=")</f>
        <v>#REF!</v>
      </c>
      <c r="CX25" t="e">
        <f>AND(#REF!,"AAAAABd+TmU=")</f>
        <v>#REF!</v>
      </c>
      <c r="CY25" t="e">
        <f>AND(#REF!,"AAAAABd+TmY=")</f>
        <v>#REF!</v>
      </c>
      <c r="CZ25" t="e">
        <f>AND(#REF!,"AAAAABd+Tmc=")</f>
        <v>#REF!</v>
      </c>
      <c r="DA25" t="e">
        <f>AND(#REF!,"AAAAABd+Tmg=")</f>
        <v>#REF!</v>
      </c>
      <c r="DB25" t="e">
        <f>AND(#REF!,"AAAAABd+Tmk=")</f>
        <v>#REF!</v>
      </c>
      <c r="DC25" t="e">
        <f>AND(#REF!,"AAAAABd+Tmo=")</f>
        <v>#REF!</v>
      </c>
      <c r="DD25" t="e">
        <f>AND(#REF!,"AAAAABd+Tms=")</f>
        <v>#REF!</v>
      </c>
      <c r="DE25" t="e">
        <f>AND(#REF!,"AAAAABd+Tmw=")</f>
        <v>#REF!</v>
      </c>
      <c r="DF25" t="e">
        <f>AND(#REF!,"AAAAABd+Tm0=")</f>
        <v>#REF!</v>
      </c>
      <c r="DG25" t="e">
        <f>AND(#REF!,"AAAAABd+Tm4=")</f>
        <v>#REF!</v>
      </c>
      <c r="DH25" t="e">
        <f>AND(#REF!,"AAAAABd+Tm8=")</f>
        <v>#REF!</v>
      </c>
      <c r="DI25" t="e">
        <f>AND(#REF!,"AAAAABd+TnA=")</f>
        <v>#REF!</v>
      </c>
      <c r="DJ25" t="e">
        <f>AND(#REF!,"AAAAABd+TnE=")</f>
        <v>#REF!</v>
      </c>
      <c r="DK25" t="e">
        <f>AND(#REF!,"AAAAABd+TnI=")</f>
        <v>#REF!</v>
      </c>
      <c r="DL25" t="e">
        <f>AND(#REF!,"AAAAABd+TnM=")</f>
        <v>#REF!</v>
      </c>
      <c r="DM25" t="e">
        <f>AND(#REF!,"AAAAABd+TnQ=")</f>
        <v>#REF!</v>
      </c>
      <c r="DN25" t="e">
        <f>AND(#REF!,"AAAAABd+TnU=")</f>
        <v>#REF!</v>
      </c>
      <c r="DO25" t="e">
        <f>AND(#REF!,"AAAAABd+TnY=")</f>
        <v>#REF!</v>
      </c>
      <c r="DP25" t="e">
        <f>AND(#REF!,"AAAAABd+Tnc=")</f>
        <v>#REF!</v>
      </c>
      <c r="DQ25" t="e">
        <f>AND(#REF!,"AAAAABd+Tng=")</f>
        <v>#REF!</v>
      </c>
      <c r="DR25" t="e">
        <f>AND(#REF!,"AAAAABd+Tnk=")</f>
        <v>#REF!</v>
      </c>
      <c r="DS25" t="e">
        <f>AND(#REF!,"AAAAABd+Tno=")</f>
        <v>#REF!</v>
      </c>
      <c r="DT25" t="e">
        <f>AND(#REF!,"AAAAABd+Tns=")</f>
        <v>#REF!</v>
      </c>
      <c r="DU25" t="e">
        <f>AND(#REF!,"AAAAABd+Tnw=")</f>
        <v>#REF!</v>
      </c>
      <c r="DV25" t="e">
        <f>AND(#REF!,"AAAAABd+Tn0=")</f>
        <v>#REF!</v>
      </c>
      <c r="DW25" t="e">
        <f>AND(#REF!,"AAAAABd+Tn4=")</f>
        <v>#REF!</v>
      </c>
      <c r="DX25" t="e">
        <f>AND(#REF!,"AAAAABd+Tn8=")</f>
        <v>#REF!</v>
      </c>
      <c r="DY25" t="e">
        <f>AND(#REF!,"AAAAABd+ToA=")</f>
        <v>#REF!</v>
      </c>
      <c r="DZ25" t="e">
        <f>AND(#REF!,"AAAAABd+ToE=")</f>
        <v>#REF!</v>
      </c>
      <c r="EA25" t="e">
        <f>AND(#REF!,"AAAAABd+ToI=")</f>
        <v>#REF!</v>
      </c>
      <c r="EB25" t="e">
        <f>AND(#REF!,"AAAAABd+ToM=")</f>
        <v>#REF!</v>
      </c>
      <c r="EC25" t="e">
        <f>AND(#REF!,"AAAAABd+ToQ=")</f>
        <v>#REF!</v>
      </c>
      <c r="ED25" t="e">
        <f>AND(#REF!,"AAAAABd+ToU=")</f>
        <v>#REF!</v>
      </c>
      <c r="EE25" t="e">
        <f>AND(#REF!,"AAAAABd+ToY=")</f>
        <v>#REF!</v>
      </c>
      <c r="EF25" t="e">
        <f>AND(#REF!,"AAAAABd+Toc=")</f>
        <v>#REF!</v>
      </c>
      <c r="EG25" t="e">
        <f>AND(#REF!,"AAAAABd+Tog=")</f>
        <v>#REF!</v>
      </c>
      <c r="EH25" t="e">
        <f>AND(#REF!,"AAAAABd+Tok=")</f>
        <v>#REF!</v>
      </c>
      <c r="EI25" t="e">
        <f>AND(#REF!,"AAAAABd+Too=")</f>
        <v>#REF!</v>
      </c>
      <c r="EJ25" t="e">
        <f>AND(#REF!,"AAAAABd+Tos=")</f>
        <v>#REF!</v>
      </c>
      <c r="EK25" t="e">
        <f>AND(#REF!,"AAAAABd+Tow=")</f>
        <v>#REF!</v>
      </c>
      <c r="EL25" t="e">
        <f>AND(#REF!,"AAAAABd+To0=")</f>
        <v>#REF!</v>
      </c>
      <c r="EM25" t="e">
        <f>AND(#REF!,"AAAAABd+To4=")</f>
        <v>#REF!</v>
      </c>
      <c r="EN25" t="e">
        <f>AND(#REF!,"AAAAABd+To8=")</f>
        <v>#REF!</v>
      </c>
      <c r="EO25" t="e">
        <f>AND(#REF!,"AAAAABd+TpA=")</f>
        <v>#REF!</v>
      </c>
      <c r="EP25" t="e">
        <f>AND(#REF!,"AAAAABd+TpE=")</f>
        <v>#REF!</v>
      </c>
      <c r="EQ25" t="e">
        <f>AND(#REF!,"AAAAABd+TpI=")</f>
        <v>#REF!</v>
      </c>
      <c r="ER25" t="e">
        <f>AND(#REF!,"AAAAABd+TpM=")</f>
        <v>#REF!</v>
      </c>
      <c r="ES25" t="e">
        <f>AND(#REF!,"AAAAABd+TpQ=")</f>
        <v>#REF!</v>
      </c>
      <c r="ET25" t="e">
        <f>AND(#REF!,"AAAAABd+TpU=")</f>
        <v>#REF!</v>
      </c>
      <c r="EU25" t="e">
        <f>AND(#REF!,"AAAAABd+TpY=")</f>
        <v>#REF!</v>
      </c>
      <c r="EV25" t="e">
        <f>AND(#REF!,"AAAAABd+Tpc=")</f>
        <v>#REF!</v>
      </c>
      <c r="EW25" t="e">
        <f>AND(#REF!,"AAAAABd+Tpg=")</f>
        <v>#REF!</v>
      </c>
      <c r="EX25" t="e">
        <f>AND(#REF!,"AAAAABd+Tpk=")</f>
        <v>#REF!</v>
      </c>
      <c r="EY25" t="e">
        <f>AND(#REF!,"AAAAABd+Tpo=")</f>
        <v>#REF!</v>
      </c>
      <c r="EZ25" t="e">
        <f>AND(#REF!,"AAAAABd+Tps=")</f>
        <v>#REF!</v>
      </c>
      <c r="FA25" t="e">
        <f>AND(#REF!,"AAAAABd+Tpw=")</f>
        <v>#REF!</v>
      </c>
      <c r="FB25" t="e">
        <f>AND(#REF!,"AAAAABd+Tp0=")</f>
        <v>#REF!</v>
      </c>
      <c r="FC25" t="e">
        <f>AND(#REF!,"AAAAABd+Tp4=")</f>
        <v>#REF!</v>
      </c>
      <c r="FD25" t="e">
        <f>AND(#REF!,"AAAAABd+Tp8=")</f>
        <v>#REF!</v>
      </c>
      <c r="FE25" t="e">
        <f>AND(#REF!,"AAAAABd+TqA=")</f>
        <v>#REF!</v>
      </c>
      <c r="FF25" t="e">
        <f>AND(#REF!,"AAAAABd+TqE=")</f>
        <v>#REF!</v>
      </c>
      <c r="FG25" t="e">
        <f>AND(#REF!,"AAAAABd+TqI=")</f>
        <v>#REF!</v>
      </c>
      <c r="FH25" t="e">
        <f>AND(#REF!,"AAAAABd+TqM=")</f>
        <v>#REF!</v>
      </c>
      <c r="FI25" t="e">
        <f>AND(#REF!,"AAAAABd+TqQ=")</f>
        <v>#REF!</v>
      </c>
      <c r="FJ25" t="e">
        <f>AND(#REF!,"AAAAABd+TqU=")</f>
        <v>#REF!</v>
      </c>
      <c r="FK25" t="e">
        <f>AND(#REF!,"AAAAABd+TqY=")</f>
        <v>#REF!</v>
      </c>
      <c r="FL25" t="e">
        <f>AND(#REF!,"AAAAABd+Tqc=")</f>
        <v>#REF!</v>
      </c>
      <c r="FM25" t="e">
        <f>AND(#REF!,"AAAAABd+Tqg=")</f>
        <v>#REF!</v>
      </c>
      <c r="FN25" t="e">
        <f>AND(#REF!,"AAAAABd+Tqk=")</f>
        <v>#REF!</v>
      </c>
      <c r="FO25" t="e">
        <f>AND(#REF!,"AAAAABd+Tqo=")</f>
        <v>#REF!</v>
      </c>
      <c r="FP25" t="e">
        <f>AND(#REF!,"AAAAABd+Tqs=")</f>
        <v>#REF!</v>
      </c>
      <c r="FQ25" t="e">
        <f>AND(#REF!,"AAAAABd+Tqw=")</f>
        <v>#REF!</v>
      </c>
      <c r="FR25" t="e">
        <f>AND(#REF!,"AAAAABd+Tq0=")</f>
        <v>#REF!</v>
      </c>
      <c r="FS25" t="e">
        <f>AND(#REF!,"AAAAABd+Tq4=")</f>
        <v>#REF!</v>
      </c>
      <c r="FT25" t="e">
        <f>AND(#REF!,"AAAAABd+Tq8=")</f>
        <v>#REF!</v>
      </c>
      <c r="FU25" t="e">
        <f>AND(#REF!,"AAAAABd+TrA=")</f>
        <v>#REF!</v>
      </c>
      <c r="FV25" t="e">
        <f>AND(#REF!,"AAAAABd+TrE=")</f>
        <v>#REF!</v>
      </c>
      <c r="FW25" t="e">
        <f>AND(#REF!,"AAAAABd+TrI=")</f>
        <v>#REF!</v>
      </c>
      <c r="FX25" t="e">
        <f>AND(#REF!,"AAAAABd+TrM=")</f>
        <v>#REF!</v>
      </c>
      <c r="FY25" t="e">
        <f>AND(#REF!,"AAAAABd+TrQ=")</f>
        <v>#REF!</v>
      </c>
      <c r="FZ25" t="e">
        <f>AND(#REF!,"AAAAABd+TrU=")</f>
        <v>#REF!</v>
      </c>
      <c r="GA25" t="e">
        <f>AND(#REF!,"AAAAABd+TrY=")</f>
        <v>#REF!</v>
      </c>
      <c r="GB25" t="e">
        <f>AND(#REF!,"AAAAABd+Trc=")</f>
        <v>#REF!</v>
      </c>
      <c r="GC25" t="e">
        <f>AND(#REF!,"AAAAABd+Trg=")</f>
        <v>#REF!</v>
      </c>
      <c r="GD25" t="e">
        <f>AND(#REF!,"AAAAABd+Trk=")</f>
        <v>#REF!</v>
      </c>
      <c r="GE25" t="e">
        <f>AND(#REF!,"AAAAABd+Tro=")</f>
        <v>#REF!</v>
      </c>
      <c r="GF25" t="e">
        <f>AND(#REF!,"AAAAABd+Trs=")</f>
        <v>#REF!</v>
      </c>
      <c r="GG25" t="e">
        <f>AND(#REF!,"AAAAABd+Trw=")</f>
        <v>#REF!</v>
      </c>
      <c r="GH25" t="e">
        <f>AND(#REF!,"AAAAABd+Tr0=")</f>
        <v>#REF!</v>
      </c>
      <c r="GI25" t="e">
        <f>AND(#REF!,"AAAAABd+Tr4=")</f>
        <v>#REF!</v>
      </c>
      <c r="GJ25" t="e">
        <f>AND(#REF!,"AAAAABd+Tr8=")</f>
        <v>#REF!</v>
      </c>
      <c r="GK25" t="e">
        <f>AND(#REF!,"AAAAABd+TsA=")</f>
        <v>#REF!</v>
      </c>
      <c r="GL25" t="e">
        <f>AND(#REF!,"AAAAABd+TsE=")</f>
        <v>#REF!</v>
      </c>
      <c r="GM25" t="e">
        <f>AND(#REF!,"AAAAABd+TsI=")</f>
        <v>#REF!</v>
      </c>
      <c r="GN25" t="e">
        <f>AND(#REF!,"AAAAABd+TsM=")</f>
        <v>#REF!</v>
      </c>
      <c r="GO25" t="e">
        <f>AND(#REF!,"AAAAABd+TsQ=")</f>
        <v>#REF!</v>
      </c>
      <c r="GP25" t="e">
        <f>AND(#REF!,"AAAAABd+TsU=")</f>
        <v>#REF!</v>
      </c>
      <c r="GQ25" t="e">
        <f>AND(#REF!,"AAAAABd+TsY=")</f>
        <v>#REF!</v>
      </c>
      <c r="GR25" t="e">
        <f>AND(#REF!,"AAAAABd+Tsc=")</f>
        <v>#REF!</v>
      </c>
      <c r="GS25" t="e">
        <f>AND(#REF!,"AAAAABd+Tsg=")</f>
        <v>#REF!</v>
      </c>
      <c r="GT25" t="e">
        <f>AND(#REF!,"AAAAABd+Tsk=")</f>
        <v>#REF!</v>
      </c>
      <c r="GU25" t="e">
        <f>AND(#REF!,"AAAAABd+Tso=")</f>
        <v>#REF!</v>
      </c>
      <c r="GV25" t="e">
        <f>AND(#REF!,"AAAAABd+Tss=")</f>
        <v>#REF!</v>
      </c>
      <c r="GW25" t="e">
        <f>AND(#REF!,"AAAAABd+Tsw=")</f>
        <v>#REF!</v>
      </c>
      <c r="GX25" t="e">
        <f>AND(#REF!,"AAAAABd+Ts0=")</f>
        <v>#REF!</v>
      </c>
      <c r="GY25" t="e">
        <f>AND(#REF!,"AAAAABd+Ts4=")</f>
        <v>#REF!</v>
      </c>
      <c r="GZ25" t="e">
        <f>AND(#REF!,"AAAAABd+Ts8=")</f>
        <v>#REF!</v>
      </c>
      <c r="HA25" t="e">
        <f>AND(#REF!,"AAAAABd+TtA=")</f>
        <v>#REF!</v>
      </c>
      <c r="HB25" t="e">
        <f>AND(#REF!,"AAAAABd+TtE=")</f>
        <v>#REF!</v>
      </c>
      <c r="HC25" t="e">
        <f>AND(#REF!,"AAAAABd+TtI=")</f>
        <v>#REF!</v>
      </c>
      <c r="HD25" t="e">
        <f>AND(#REF!,"AAAAABd+TtM=")</f>
        <v>#REF!</v>
      </c>
      <c r="HE25" t="e">
        <f>AND(#REF!,"AAAAABd+TtQ=")</f>
        <v>#REF!</v>
      </c>
      <c r="HF25" t="e">
        <f>AND(#REF!,"AAAAABd+TtU=")</f>
        <v>#REF!</v>
      </c>
      <c r="HG25" t="e">
        <f>AND(#REF!,"AAAAABd+TtY=")</f>
        <v>#REF!</v>
      </c>
      <c r="HH25" t="e">
        <f>AND(#REF!,"AAAAABd+Ttc=")</f>
        <v>#REF!</v>
      </c>
      <c r="HI25" t="e">
        <f>AND(#REF!,"AAAAABd+Ttg=")</f>
        <v>#REF!</v>
      </c>
      <c r="HJ25" t="e">
        <f>AND(#REF!,"AAAAABd+Ttk=")</f>
        <v>#REF!</v>
      </c>
      <c r="HK25" t="e">
        <f>AND(#REF!,"AAAAABd+Tto=")</f>
        <v>#REF!</v>
      </c>
      <c r="HL25" t="e">
        <f>AND(#REF!,"AAAAABd+Tts=")</f>
        <v>#REF!</v>
      </c>
      <c r="HM25" t="e">
        <f>AND(#REF!,"AAAAABd+Ttw=")</f>
        <v>#REF!</v>
      </c>
      <c r="HN25" t="e">
        <f>AND(#REF!,"AAAAABd+Tt0=")</f>
        <v>#REF!</v>
      </c>
      <c r="HO25" t="e">
        <f>AND(#REF!,"AAAAABd+Tt4=")</f>
        <v>#REF!</v>
      </c>
      <c r="HP25" t="e">
        <f>AND(#REF!,"AAAAABd+Tt8=")</f>
        <v>#REF!</v>
      </c>
      <c r="HQ25" t="e">
        <f>AND(#REF!,"AAAAABd+TuA=")</f>
        <v>#REF!</v>
      </c>
      <c r="HR25" t="e">
        <f>AND(#REF!,"AAAAABd+TuE=")</f>
        <v>#REF!</v>
      </c>
      <c r="HS25" t="e">
        <f>AND(#REF!,"AAAAABd+TuI=")</f>
        <v>#REF!</v>
      </c>
      <c r="HT25" t="e">
        <f>AND(#REF!,"AAAAABd+TuM=")</f>
        <v>#REF!</v>
      </c>
      <c r="HU25" t="e">
        <f>AND(#REF!,"AAAAABd+TuQ=")</f>
        <v>#REF!</v>
      </c>
      <c r="HV25" t="e">
        <f>AND(#REF!,"AAAAABd+TuU=")</f>
        <v>#REF!</v>
      </c>
      <c r="HW25" t="e">
        <f>AND(#REF!,"AAAAABd+TuY=")</f>
        <v>#REF!</v>
      </c>
      <c r="HX25" t="e">
        <f>AND(#REF!,"AAAAABd+Tuc=")</f>
        <v>#REF!</v>
      </c>
      <c r="HY25" t="e">
        <f>AND(#REF!,"AAAAABd+Tug=")</f>
        <v>#REF!</v>
      </c>
      <c r="HZ25" t="e">
        <f>AND(#REF!,"AAAAABd+Tuk=")</f>
        <v>#REF!</v>
      </c>
      <c r="IA25" t="e">
        <f>AND(#REF!,"AAAAABd+Tuo=")</f>
        <v>#REF!</v>
      </c>
      <c r="IB25" t="e">
        <f>AND(#REF!,"AAAAABd+Tus=")</f>
        <v>#REF!</v>
      </c>
      <c r="IC25" t="e">
        <f>AND(#REF!,"AAAAABd+Tuw=")</f>
        <v>#REF!</v>
      </c>
      <c r="ID25" t="e">
        <f>AND(#REF!,"AAAAABd+Tu0=")</f>
        <v>#REF!</v>
      </c>
      <c r="IE25" t="e">
        <f>AND(#REF!,"AAAAABd+Tu4=")</f>
        <v>#REF!</v>
      </c>
      <c r="IF25" t="e">
        <f>AND(#REF!,"AAAAABd+Tu8=")</f>
        <v>#REF!</v>
      </c>
      <c r="IG25" t="e">
        <f>AND(#REF!,"AAAAABd+TvA=")</f>
        <v>#REF!</v>
      </c>
      <c r="IH25" t="e">
        <f>AND(#REF!,"AAAAABd+TvE=")</f>
        <v>#REF!</v>
      </c>
      <c r="II25" t="e">
        <f>AND(#REF!,"AAAAABd+TvI=")</f>
        <v>#REF!</v>
      </c>
      <c r="IJ25" t="e">
        <f>AND(#REF!,"AAAAABd+TvM=")</f>
        <v>#REF!</v>
      </c>
      <c r="IK25" t="e">
        <f>AND(#REF!,"AAAAABd+TvQ=")</f>
        <v>#REF!</v>
      </c>
      <c r="IL25" t="e">
        <f>AND(#REF!,"AAAAABd+TvU=")</f>
        <v>#REF!</v>
      </c>
      <c r="IM25" t="e">
        <f>AND(#REF!,"AAAAABd+TvY=")</f>
        <v>#REF!</v>
      </c>
      <c r="IN25" t="e">
        <f>AND(#REF!,"AAAAABd+Tvc=")</f>
        <v>#REF!</v>
      </c>
      <c r="IO25" t="e">
        <f>AND(#REF!,"AAAAABd+Tvg=")</f>
        <v>#REF!</v>
      </c>
      <c r="IP25" t="e">
        <f>AND(#REF!,"AAAAABd+Tvk=")</f>
        <v>#REF!</v>
      </c>
      <c r="IQ25" t="e">
        <f>AND(#REF!,"AAAAABd+Tvo=")</f>
        <v>#REF!</v>
      </c>
      <c r="IR25" t="e">
        <f>AND(#REF!,"AAAAABd+Tvs=")</f>
        <v>#REF!</v>
      </c>
      <c r="IS25" t="e">
        <f>AND(#REF!,"AAAAABd+Tvw=")</f>
        <v>#REF!</v>
      </c>
      <c r="IT25" t="e">
        <f>AND(#REF!,"AAAAABd+Tv0=")</f>
        <v>#REF!</v>
      </c>
      <c r="IU25" t="e">
        <f>AND(#REF!,"AAAAABd+Tv4=")</f>
        <v>#REF!</v>
      </c>
      <c r="IV25" t="e">
        <f>AND(#REF!,"AAAAABd+Tv8=")</f>
        <v>#REF!</v>
      </c>
    </row>
    <row r="26" spans="1:256" x14ac:dyDescent="0.25">
      <c r="A26" t="e">
        <f>AND(#REF!,"AAAAADb1ZwA=")</f>
        <v>#REF!</v>
      </c>
      <c r="B26" t="e">
        <f>AND(#REF!,"AAAAADb1ZwE=")</f>
        <v>#REF!</v>
      </c>
      <c r="C26" t="e">
        <f>AND(#REF!,"AAAAADb1ZwI=")</f>
        <v>#REF!</v>
      </c>
      <c r="D26" t="e">
        <f>AND(#REF!,"AAAAADb1ZwM=")</f>
        <v>#REF!</v>
      </c>
      <c r="E26" t="e">
        <f>AND(#REF!,"AAAAADb1ZwQ=")</f>
        <v>#REF!</v>
      </c>
      <c r="F26" t="e">
        <f>AND(#REF!,"AAAAADb1ZwU=")</f>
        <v>#REF!</v>
      </c>
      <c r="G26" t="e">
        <f>AND(#REF!,"AAAAADb1ZwY=")</f>
        <v>#REF!</v>
      </c>
      <c r="H26" t="e">
        <f>AND(#REF!,"AAAAADb1Zwc=")</f>
        <v>#REF!</v>
      </c>
      <c r="I26" t="e">
        <f>AND(#REF!,"AAAAADb1Zwg=")</f>
        <v>#REF!</v>
      </c>
      <c r="J26" t="e">
        <f>AND(#REF!,"AAAAADb1Zwk=")</f>
        <v>#REF!</v>
      </c>
      <c r="K26" t="e">
        <f>AND(#REF!,"AAAAADb1Zwo=")</f>
        <v>#REF!</v>
      </c>
      <c r="L26" t="e">
        <f>AND(#REF!,"AAAAADb1Zws=")</f>
        <v>#REF!</v>
      </c>
      <c r="M26" t="e">
        <f>AND(#REF!,"AAAAADb1Zww=")</f>
        <v>#REF!</v>
      </c>
      <c r="N26" t="e">
        <f>AND(#REF!,"AAAAADb1Zw0=")</f>
        <v>#REF!</v>
      </c>
      <c r="O26" t="e">
        <f>AND(#REF!,"AAAAADb1Zw4=")</f>
        <v>#REF!</v>
      </c>
      <c r="P26" t="e">
        <f>AND(#REF!,"AAAAADb1Zw8=")</f>
        <v>#REF!</v>
      </c>
      <c r="Q26" t="e">
        <f>AND(#REF!,"AAAAADb1ZxA=")</f>
        <v>#REF!</v>
      </c>
      <c r="R26" t="e">
        <f>AND(#REF!,"AAAAADb1ZxE=")</f>
        <v>#REF!</v>
      </c>
      <c r="S26" t="e">
        <f>IF(#REF!,"AAAAADb1ZxI=",0)</f>
        <v>#REF!</v>
      </c>
      <c r="T26" t="e">
        <f>AND(#REF!,"AAAAADb1ZxM=")</f>
        <v>#REF!</v>
      </c>
      <c r="U26" t="e">
        <f>AND(#REF!,"AAAAADb1ZxQ=")</f>
        <v>#REF!</v>
      </c>
      <c r="V26" t="e">
        <f>AND(#REF!,"AAAAADb1ZxU=")</f>
        <v>#REF!</v>
      </c>
      <c r="W26" t="e">
        <f>AND(#REF!,"AAAAADb1ZxY=")</f>
        <v>#REF!</v>
      </c>
      <c r="X26" t="e">
        <f>AND(#REF!,"AAAAADb1Zxc=")</f>
        <v>#REF!</v>
      </c>
      <c r="Y26" t="e">
        <f>AND(#REF!,"AAAAADb1Zxg=")</f>
        <v>#REF!</v>
      </c>
      <c r="Z26" t="e">
        <f>AND(#REF!,"AAAAADb1Zxk=")</f>
        <v>#REF!</v>
      </c>
      <c r="AA26" t="e">
        <f>AND(#REF!,"AAAAADb1Zxo=")</f>
        <v>#REF!</v>
      </c>
      <c r="AB26" t="e">
        <f>AND(#REF!,"AAAAADb1Zxs=")</f>
        <v>#REF!</v>
      </c>
      <c r="AC26" t="e">
        <f>AND(#REF!,"AAAAADb1Zxw=")</f>
        <v>#REF!</v>
      </c>
      <c r="AD26" t="e">
        <f>AND(#REF!,"AAAAADb1Zx0=")</f>
        <v>#REF!</v>
      </c>
      <c r="AE26" t="e">
        <f>AND(#REF!,"AAAAADb1Zx4=")</f>
        <v>#REF!</v>
      </c>
      <c r="AF26" t="e">
        <f>AND(#REF!,"AAAAADb1Zx8=")</f>
        <v>#REF!</v>
      </c>
      <c r="AG26" t="e">
        <f>AND(#REF!,"AAAAADb1ZyA=")</f>
        <v>#REF!</v>
      </c>
      <c r="AH26" t="e">
        <f>AND(#REF!,"AAAAADb1ZyE=")</f>
        <v>#REF!</v>
      </c>
      <c r="AI26" t="e">
        <f>AND(#REF!,"AAAAADb1ZyI=")</f>
        <v>#REF!</v>
      </c>
      <c r="AJ26" t="e">
        <f>AND(#REF!,"AAAAADb1ZyM=")</f>
        <v>#REF!</v>
      </c>
      <c r="AK26" t="e">
        <f>AND(#REF!,"AAAAADb1ZyQ=")</f>
        <v>#REF!</v>
      </c>
      <c r="AL26" t="e">
        <f>AND(#REF!,"AAAAADb1ZyU=")</f>
        <v>#REF!</v>
      </c>
      <c r="AM26" t="e">
        <f>AND(#REF!,"AAAAADb1ZyY=")</f>
        <v>#REF!</v>
      </c>
      <c r="AN26" t="e">
        <f>AND(#REF!,"AAAAADb1Zyc=")</f>
        <v>#REF!</v>
      </c>
      <c r="AO26" t="e">
        <f>AND(#REF!,"AAAAADb1Zyg=")</f>
        <v>#REF!</v>
      </c>
      <c r="AP26" t="e">
        <f>AND(#REF!,"AAAAADb1Zyk=")</f>
        <v>#REF!</v>
      </c>
      <c r="AQ26" t="e">
        <f>AND(#REF!,"AAAAADb1Zyo=")</f>
        <v>#REF!</v>
      </c>
      <c r="AR26" t="e">
        <f>AND(#REF!,"AAAAADb1Zys=")</f>
        <v>#REF!</v>
      </c>
      <c r="AS26" t="e">
        <f>AND(#REF!,"AAAAADb1Zyw=")</f>
        <v>#REF!</v>
      </c>
      <c r="AT26" t="e">
        <f>AND(#REF!,"AAAAADb1Zy0=")</f>
        <v>#REF!</v>
      </c>
      <c r="AU26" t="e">
        <f>AND(#REF!,"AAAAADb1Zy4=")</f>
        <v>#REF!</v>
      </c>
      <c r="AV26" t="e">
        <f>AND(#REF!,"AAAAADb1Zy8=")</f>
        <v>#REF!</v>
      </c>
      <c r="AW26" t="e">
        <f>AND(#REF!,"AAAAADb1ZzA=")</f>
        <v>#REF!</v>
      </c>
      <c r="AX26" t="e">
        <f>AND(#REF!,"AAAAADb1ZzE=")</f>
        <v>#REF!</v>
      </c>
      <c r="AY26" t="e">
        <f>AND(#REF!,"AAAAADb1ZzI=")</f>
        <v>#REF!</v>
      </c>
      <c r="AZ26" t="e">
        <f>AND(#REF!,"AAAAADb1ZzM=")</f>
        <v>#REF!</v>
      </c>
      <c r="BA26" t="e">
        <f>AND(#REF!,"AAAAADb1ZzQ=")</f>
        <v>#REF!</v>
      </c>
      <c r="BB26" t="e">
        <f>AND(#REF!,"AAAAADb1ZzU=")</f>
        <v>#REF!</v>
      </c>
      <c r="BC26" t="e">
        <f>AND(#REF!,"AAAAADb1ZzY=")</f>
        <v>#REF!</v>
      </c>
      <c r="BD26" t="e">
        <f>AND(#REF!,"AAAAADb1Zzc=")</f>
        <v>#REF!</v>
      </c>
      <c r="BE26" t="e">
        <f>AND(#REF!,"AAAAADb1Zzg=")</f>
        <v>#REF!</v>
      </c>
      <c r="BF26" t="e">
        <f>AND(#REF!,"AAAAADb1Zzk=")</f>
        <v>#REF!</v>
      </c>
      <c r="BG26" t="e">
        <f>AND(#REF!,"AAAAADb1Zzo=")</f>
        <v>#REF!</v>
      </c>
      <c r="BH26" t="e">
        <f>AND(#REF!,"AAAAADb1Zzs=")</f>
        <v>#REF!</v>
      </c>
      <c r="BI26" t="e">
        <f>AND(#REF!,"AAAAADb1Zzw=")</f>
        <v>#REF!</v>
      </c>
      <c r="BJ26" t="e">
        <f>AND(#REF!,"AAAAADb1Zz0=")</f>
        <v>#REF!</v>
      </c>
      <c r="BK26" t="e">
        <f>AND(#REF!,"AAAAADb1Zz4=")</f>
        <v>#REF!</v>
      </c>
      <c r="BL26" t="e">
        <f>AND(#REF!,"AAAAADb1Zz8=")</f>
        <v>#REF!</v>
      </c>
      <c r="BM26" t="e">
        <f>AND(#REF!,"AAAAADb1Z0A=")</f>
        <v>#REF!</v>
      </c>
      <c r="BN26" t="e">
        <f>AND(#REF!,"AAAAADb1Z0E=")</f>
        <v>#REF!</v>
      </c>
      <c r="BO26" t="e">
        <f>AND(#REF!,"AAAAADb1Z0I=")</f>
        <v>#REF!</v>
      </c>
      <c r="BP26" t="e">
        <f>AND(#REF!,"AAAAADb1Z0M=")</f>
        <v>#REF!</v>
      </c>
      <c r="BQ26" t="e">
        <f>AND(#REF!,"AAAAADb1Z0Q=")</f>
        <v>#REF!</v>
      </c>
      <c r="BR26" t="e">
        <f>AND(#REF!,"AAAAADb1Z0U=")</f>
        <v>#REF!</v>
      </c>
      <c r="BS26" t="e">
        <f>AND(#REF!,"AAAAADb1Z0Y=")</f>
        <v>#REF!</v>
      </c>
      <c r="BT26" t="e">
        <f>AND(#REF!,"AAAAADb1Z0c=")</f>
        <v>#REF!</v>
      </c>
      <c r="BU26" t="e">
        <f>AND(#REF!,"AAAAADb1Z0g=")</f>
        <v>#REF!</v>
      </c>
      <c r="BV26" t="e">
        <f>AND(#REF!,"AAAAADb1Z0k=")</f>
        <v>#REF!</v>
      </c>
      <c r="BW26" t="e">
        <f>AND(#REF!,"AAAAADb1Z0o=")</f>
        <v>#REF!</v>
      </c>
      <c r="BX26" t="e">
        <f>AND(#REF!,"AAAAADb1Z0s=")</f>
        <v>#REF!</v>
      </c>
      <c r="BY26" t="e">
        <f>AND(#REF!,"AAAAADb1Z0w=")</f>
        <v>#REF!</v>
      </c>
      <c r="BZ26" t="e">
        <f>AND(#REF!,"AAAAADb1Z00=")</f>
        <v>#REF!</v>
      </c>
      <c r="CA26" t="e">
        <f>AND(#REF!,"AAAAADb1Z04=")</f>
        <v>#REF!</v>
      </c>
      <c r="CB26" t="e">
        <f>AND(#REF!,"AAAAADb1Z08=")</f>
        <v>#REF!</v>
      </c>
      <c r="CC26" t="e">
        <f>AND(#REF!,"AAAAADb1Z1A=")</f>
        <v>#REF!</v>
      </c>
      <c r="CD26" t="e">
        <f>AND(#REF!,"AAAAADb1Z1E=")</f>
        <v>#REF!</v>
      </c>
      <c r="CE26" t="e">
        <f>AND(#REF!,"AAAAADb1Z1I=")</f>
        <v>#REF!</v>
      </c>
      <c r="CF26" t="e">
        <f>AND(#REF!,"AAAAADb1Z1M=")</f>
        <v>#REF!</v>
      </c>
      <c r="CG26" t="e">
        <f>AND(#REF!,"AAAAADb1Z1Q=")</f>
        <v>#REF!</v>
      </c>
      <c r="CH26" t="e">
        <f>AND(#REF!,"AAAAADb1Z1U=")</f>
        <v>#REF!</v>
      </c>
      <c r="CI26" t="e">
        <f>AND(#REF!,"AAAAADb1Z1Y=")</f>
        <v>#REF!</v>
      </c>
      <c r="CJ26" t="e">
        <f>AND(#REF!,"AAAAADb1Z1c=")</f>
        <v>#REF!</v>
      </c>
      <c r="CK26" t="e">
        <f>AND(#REF!,"AAAAADb1Z1g=")</f>
        <v>#REF!</v>
      </c>
      <c r="CL26" t="e">
        <f>AND(#REF!,"AAAAADb1Z1k=")</f>
        <v>#REF!</v>
      </c>
      <c r="CM26" t="e">
        <f>AND(#REF!,"AAAAADb1Z1o=")</f>
        <v>#REF!</v>
      </c>
      <c r="CN26" t="e">
        <f>AND(#REF!,"AAAAADb1Z1s=")</f>
        <v>#REF!</v>
      </c>
      <c r="CO26" t="e">
        <f>AND(#REF!,"AAAAADb1Z1w=")</f>
        <v>#REF!</v>
      </c>
      <c r="CP26" t="e">
        <f>AND(#REF!,"AAAAADb1Z10=")</f>
        <v>#REF!</v>
      </c>
      <c r="CQ26" t="e">
        <f>AND(#REF!,"AAAAADb1Z14=")</f>
        <v>#REF!</v>
      </c>
      <c r="CR26" t="e">
        <f>AND(#REF!,"AAAAADb1Z18=")</f>
        <v>#REF!</v>
      </c>
      <c r="CS26" t="e">
        <f>AND(#REF!,"AAAAADb1Z2A=")</f>
        <v>#REF!</v>
      </c>
      <c r="CT26" t="e">
        <f>AND(#REF!,"AAAAADb1Z2E=")</f>
        <v>#REF!</v>
      </c>
      <c r="CU26" t="e">
        <f>AND(#REF!,"AAAAADb1Z2I=")</f>
        <v>#REF!</v>
      </c>
      <c r="CV26" t="e">
        <f>AND(#REF!,"AAAAADb1Z2M=")</f>
        <v>#REF!</v>
      </c>
      <c r="CW26" t="e">
        <f>AND(#REF!,"AAAAADb1Z2Q=")</f>
        <v>#REF!</v>
      </c>
      <c r="CX26" t="e">
        <f>AND(#REF!,"AAAAADb1Z2U=")</f>
        <v>#REF!</v>
      </c>
      <c r="CY26" t="e">
        <f>AND(#REF!,"AAAAADb1Z2Y=")</f>
        <v>#REF!</v>
      </c>
      <c r="CZ26" t="e">
        <f>AND(#REF!,"AAAAADb1Z2c=")</f>
        <v>#REF!</v>
      </c>
      <c r="DA26" t="e">
        <f>AND(#REF!,"AAAAADb1Z2g=")</f>
        <v>#REF!</v>
      </c>
      <c r="DB26" t="e">
        <f>AND(#REF!,"AAAAADb1Z2k=")</f>
        <v>#REF!</v>
      </c>
      <c r="DC26" t="e">
        <f>AND(#REF!,"AAAAADb1Z2o=")</f>
        <v>#REF!</v>
      </c>
      <c r="DD26" t="e">
        <f>AND(#REF!,"AAAAADb1Z2s=")</f>
        <v>#REF!</v>
      </c>
      <c r="DE26" t="e">
        <f>AND(#REF!,"AAAAADb1Z2w=")</f>
        <v>#REF!</v>
      </c>
      <c r="DF26" t="e">
        <f>AND(#REF!,"AAAAADb1Z20=")</f>
        <v>#REF!</v>
      </c>
      <c r="DG26" t="e">
        <f>AND(#REF!,"AAAAADb1Z24=")</f>
        <v>#REF!</v>
      </c>
      <c r="DH26" t="e">
        <f>AND(#REF!,"AAAAADb1Z28=")</f>
        <v>#REF!</v>
      </c>
      <c r="DI26" t="e">
        <f>AND(#REF!,"AAAAADb1Z3A=")</f>
        <v>#REF!</v>
      </c>
      <c r="DJ26" t="e">
        <f>AND(#REF!,"AAAAADb1Z3E=")</f>
        <v>#REF!</v>
      </c>
      <c r="DK26" t="e">
        <f>AND(#REF!,"AAAAADb1Z3I=")</f>
        <v>#REF!</v>
      </c>
      <c r="DL26" t="e">
        <f>AND(#REF!,"AAAAADb1Z3M=")</f>
        <v>#REF!</v>
      </c>
      <c r="DM26" t="e">
        <f>AND(#REF!,"AAAAADb1Z3Q=")</f>
        <v>#REF!</v>
      </c>
      <c r="DN26" t="e">
        <f>AND(#REF!,"AAAAADb1Z3U=")</f>
        <v>#REF!</v>
      </c>
      <c r="DO26" t="e">
        <f>AND(#REF!,"AAAAADb1Z3Y=")</f>
        <v>#REF!</v>
      </c>
      <c r="DP26" t="e">
        <f>AND(#REF!,"AAAAADb1Z3c=")</f>
        <v>#REF!</v>
      </c>
      <c r="DQ26" t="e">
        <f>AND(#REF!,"AAAAADb1Z3g=")</f>
        <v>#REF!</v>
      </c>
      <c r="DR26" t="e">
        <f>AND(#REF!,"AAAAADb1Z3k=")</f>
        <v>#REF!</v>
      </c>
      <c r="DS26" t="e">
        <f>AND(#REF!,"AAAAADb1Z3o=")</f>
        <v>#REF!</v>
      </c>
      <c r="DT26" t="e">
        <f>AND(#REF!,"AAAAADb1Z3s=")</f>
        <v>#REF!</v>
      </c>
      <c r="DU26" t="e">
        <f>AND(#REF!,"AAAAADb1Z3w=")</f>
        <v>#REF!</v>
      </c>
      <c r="DV26" t="e">
        <f>AND(#REF!,"AAAAADb1Z30=")</f>
        <v>#REF!</v>
      </c>
      <c r="DW26" t="e">
        <f>AND(#REF!,"AAAAADb1Z34=")</f>
        <v>#REF!</v>
      </c>
      <c r="DX26" t="e">
        <f>AND(#REF!,"AAAAADb1Z38=")</f>
        <v>#REF!</v>
      </c>
      <c r="DY26" t="e">
        <f>AND(#REF!,"AAAAADb1Z4A=")</f>
        <v>#REF!</v>
      </c>
      <c r="DZ26" t="e">
        <f>AND(#REF!,"AAAAADb1Z4E=")</f>
        <v>#REF!</v>
      </c>
      <c r="EA26" t="e">
        <f>AND(#REF!,"AAAAADb1Z4I=")</f>
        <v>#REF!</v>
      </c>
      <c r="EB26" t="e">
        <f>AND(#REF!,"AAAAADb1Z4M=")</f>
        <v>#REF!</v>
      </c>
      <c r="EC26" t="e">
        <f>AND(#REF!,"AAAAADb1Z4Q=")</f>
        <v>#REF!</v>
      </c>
      <c r="ED26" t="e">
        <f>AND(#REF!,"AAAAADb1Z4U=")</f>
        <v>#REF!</v>
      </c>
      <c r="EE26" t="e">
        <f>AND(#REF!,"AAAAADb1Z4Y=")</f>
        <v>#REF!</v>
      </c>
      <c r="EF26" t="e">
        <f>AND(#REF!,"AAAAADb1Z4c=")</f>
        <v>#REF!</v>
      </c>
      <c r="EG26" t="e">
        <f>AND(#REF!,"AAAAADb1Z4g=")</f>
        <v>#REF!</v>
      </c>
      <c r="EH26" t="e">
        <f>AND(#REF!,"AAAAADb1Z4k=")</f>
        <v>#REF!</v>
      </c>
      <c r="EI26" t="e">
        <f>AND(#REF!,"AAAAADb1Z4o=")</f>
        <v>#REF!</v>
      </c>
      <c r="EJ26" t="e">
        <f>AND(#REF!,"AAAAADb1Z4s=")</f>
        <v>#REF!</v>
      </c>
      <c r="EK26" t="e">
        <f>AND(#REF!,"AAAAADb1Z4w=")</f>
        <v>#REF!</v>
      </c>
      <c r="EL26" t="e">
        <f>AND(#REF!,"AAAAADb1Z40=")</f>
        <v>#REF!</v>
      </c>
      <c r="EM26" t="e">
        <f>AND(#REF!,"AAAAADb1Z44=")</f>
        <v>#REF!</v>
      </c>
      <c r="EN26" t="e">
        <f>AND(#REF!,"AAAAADb1Z48=")</f>
        <v>#REF!</v>
      </c>
      <c r="EO26" t="e">
        <f>AND(#REF!,"AAAAADb1Z5A=")</f>
        <v>#REF!</v>
      </c>
      <c r="EP26" t="e">
        <f>AND(#REF!,"AAAAADb1Z5E=")</f>
        <v>#REF!</v>
      </c>
      <c r="EQ26" t="e">
        <f>AND(#REF!,"AAAAADb1Z5I=")</f>
        <v>#REF!</v>
      </c>
      <c r="ER26" t="e">
        <f>AND(#REF!,"AAAAADb1Z5M=")</f>
        <v>#REF!</v>
      </c>
      <c r="ES26" t="e">
        <f>AND(#REF!,"AAAAADb1Z5Q=")</f>
        <v>#REF!</v>
      </c>
      <c r="ET26" t="e">
        <f>AND(#REF!,"AAAAADb1Z5U=")</f>
        <v>#REF!</v>
      </c>
      <c r="EU26" t="e">
        <f>AND(#REF!,"AAAAADb1Z5Y=")</f>
        <v>#REF!</v>
      </c>
      <c r="EV26" t="e">
        <f>AND(#REF!,"AAAAADb1Z5c=")</f>
        <v>#REF!</v>
      </c>
      <c r="EW26" t="e">
        <f>AND(#REF!,"AAAAADb1Z5g=")</f>
        <v>#REF!</v>
      </c>
      <c r="EX26" t="e">
        <f>AND(#REF!,"AAAAADb1Z5k=")</f>
        <v>#REF!</v>
      </c>
      <c r="EY26" t="e">
        <f>AND(#REF!,"AAAAADb1Z5o=")</f>
        <v>#REF!</v>
      </c>
      <c r="EZ26" t="e">
        <f>AND(#REF!,"AAAAADb1Z5s=")</f>
        <v>#REF!</v>
      </c>
      <c r="FA26" t="e">
        <f>AND(#REF!,"AAAAADb1Z5w=")</f>
        <v>#REF!</v>
      </c>
      <c r="FB26" t="e">
        <f>AND(#REF!,"AAAAADb1Z50=")</f>
        <v>#REF!</v>
      </c>
      <c r="FC26" t="e">
        <f>AND(#REF!,"AAAAADb1Z54=")</f>
        <v>#REF!</v>
      </c>
      <c r="FD26" t="e">
        <f>AND(#REF!,"AAAAADb1Z58=")</f>
        <v>#REF!</v>
      </c>
      <c r="FE26" t="e">
        <f>AND(#REF!,"AAAAADb1Z6A=")</f>
        <v>#REF!</v>
      </c>
      <c r="FF26" t="e">
        <f>AND(#REF!,"AAAAADb1Z6E=")</f>
        <v>#REF!</v>
      </c>
      <c r="FG26" t="e">
        <f>AND(#REF!,"AAAAADb1Z6I=")</f>
        <v>#REF!</v>
      </c>
      <c r="FH26" t="e">
        <f>AND(#REF!,"AAAAADb1Z6M=")</f>
        <v>#REF!</v>
      </c>
      <c r="FI26" t="e">
        <f>AND(#REF!,"AAAAADb1Z6Q=")</f>
        <v>#REF!</v>
      </c>
      <c r="FJ26" t="e">
        <f>AND(#REF!,"AAAAADb1Z6U=")</f>
        <v>#REF!</v>
      </c>
      <c r="FK26" t="e">
        <f>AND(#REF!,"AAAAADb1Z6Y=")</f>
        <v>#REF!</v>
      </c>
      <c r="FL26" t="e">
        <f>AND(#REF!,"AAAAADb1Z6c=")</f>
        <v>#REF!</v>
      </c>
      <c r="FM26" t="e">
        <f>AND(#REF!,"AAAAADb1Z6g=")</f>
        <v>#REF!</v>
      </c>
      <c r="FN26" t="e">
        <f>AND(#REF!,"AAAAADb1Z6k=")</f>
        <v>#REF!</v>
      </c>
      <c r="FO26" t="e">
        <f>AND(#REF!,"AAAAADb1Z6o=")</f>
        <v>#REF!</v>
      </c>
      <c r="FP26" t="e">
        <f>AND(#REF!,"AAAAADb1Z6s=")</f>
        <v>#REF!</v>
      </c>
      <c r="FQ26" t="e">
        <f>AND(#REF!,"AAAAADb1Z6w=")</f>
        <v>#REF!</v>
      </c>
      <c r="FR26" t="e">
        <f>AND(#REF!,"AAAAADb1Z60=")</f>
        <v>#REF!</v>
      </c>
      <c r="FS26" t="e">
        <f>AND(#REF!,"AAAAADb1Z64=")</f>
        <v>#REF!</v>
      </c>
      <c r="FT26" t="e">
        <f>AND(#REF!,"AAAAADb1Z68=")</f>
        <v>#REF!</v>
      </c>
      <c r="FU26" t="e">
        <f>AND(#REF!,"AAAAADb1Z7A=")</f>
        <v>#REF!</v>
      </c>
      <c r="FV26" t="e">
        <f>AND(#REF!,"AAAAADb1Z7E=")</f>
        <v>#REF!</v>
      </c>
      <c r="FW26" t="e">
        <f>AND(#REF!,"AAAAADb1Z7I=")</f>
        <v>#REF!</v>
      </c>
      <c r="FX26" t="e">
        <f>AND(#REF!,"AAAAADb1Z7M=")</f>
        <v>#REF!</v>
      </c>
      <c r="FY26" t="e">
        <f>AND(#REF!,"AAAAADb1Z7Q=")</f>
        <v>#REF!</v>
      </c>
      <c r="FZ26" t="e">
        <f>AND(#REF!,"AAAAADb1Z7U=")</f>
        <v>#REF!</v>
      </c>
      <c r="GA26" t="e">
        <f>AND(#REF!,"AAAAADb1Z7Y=")</f>
        <v>#REF!</v>
      </c>
      <c r="GB26" t="e">
        <f>AND(#REF!,"AAAAADb1Z7c=")</f>
        <v>#REF!</v>
      </c>
      <c r="GC26" t="e">
        <f>AND(#REF!,"AAAAADb1Z7g=")</f>
        <v>#REF!</v>
      </c>
      <c r="GD26" t="e">
        <f>AND(#REF!,"AAAAADb1Z7k=")</f>
        <v>#REF!</v>
      </c>
      <c r="GE26" t="e">
        <f>AND(#REF!,"AAAAADb1Z7o=")</f>
        <v>#REF!</v>
      </c>
      <c r="GF26" t="e">
        <f>AND(#REF!,"AAAAADb1Z7s=")</f>
        <v>#REF!</v>
      </c>
      <c r="GG26" t="e">
        <f>AND(#REF!,"AAAAADb1Z7w=")</f>
        <v>#REF!</v>
      </c>
      <c r="GH26" t="e">
        <f>AND(#REF!,"AAAAADb1Z70=")</f>
        <v>#REF!</v>
      </c>
      <c r="GI26" t="e">
        <f>AND(#REF!,"AAAAADb1Z74=")</f>
        <v>#REF!</v>
      </c>
      <c r="GJ26" t="e">
        <f>AND(#REF!,"AAAAADb1Z78=")</f>
        <v>#REF!</v>
      </c>
      <c r="GK26" t="e">
        <f>AND(#REF!,"AAAAADb1Z8A=")</f>
        <v>#REF!</v>
      </c>
      <c r="GL26" t="e">
        <f>AND(#REF!,"AAAAADb1Z8E=")</f>
        <v>#REF!</v>
      </c>
      <c r="GM26" t="e">
        <f>AND(#REF!,"AAAAADb1Z8I=")</f>
        <v>#REF!</v>
      </c>
      <c r="GN26" t="e">
        <f>AND(#REF!,"AAAAADb1Z8M=")</f>
        <v>#REF!</v>
      </c>
      <c r="GO26" t="e">
        <f>AND(#REF!,"AAAAADb1Z8Q=")</f>
        <v>#REF!</v>
      </c>
      <c r="GP26" t="e">
        <f>AND(#REF!,"AAAAADb1Z8U=")</f>
        <v>#REF!</v>
      </c>
      <c r="GQ26" t="e">
        <f>AND(#REF!,"AAAAADb1Z8Y=")</f>
        <v>#REF!</v>
      </c>
      <c r="GR26" t="e">
        <f>AND(#REF!,"AAAAADb1Z8c=")</f>
        <v>#REF!</v>
      </c>
      <c r="GS26" t="e">
        <f>AND(#REF!,"AAAAADb1Z8g=")</f>
        <v>#REF!</v>
      </c>
      <c r="GT26" t="e">
        <f>AND(#REF!,"AAAAADb1Z8k=")</f>
        <v>#REF!</v>
      </c>
      <c r="GU26" t="e">
        <f>AND(#REF!,"AAAAADb1Z8o=")</f>
        <v>#REF!</v>
      </c>
      <c r="GV26" t="e">
        <f>AND(#REF!,"AAAAADb1Z8s=")</f>
        <v>#REF!</v>
      </c>
      <c r="GW26" t="e">
        <f>AND(#REF!,"AAAAADb1Z8w=")</f>
        <v>#REF!</v>
      </c>
      <c r="GX26" t="e">
        <f>AND(#REF!,"AAAAADb1Z80=")</f>
        <v>#REF!</v>
      </c>
      <c r="GY26" t="e">
        <f>AND(#REF!,"AAAAADb1Z84=")</f>
        <v>#REF!</v>
      </c>
      <c r="GZ26" t="e">
        <f>AND(#REF!,"AAAAADb1Z88=")</f>
        <v>#REF!</v>
      </c>
      <c r="HA26" t="e">
        <f>AND(#REF!,"AAAAADb1Z9A=")</f>
        <v>#REF!</v>
      </c>
      <c r="HB26" t="e">
        <f>AND(#REF!,"AAAAADb1Z9E=")</f>
        <v>#REF!</v>
      </c>
      <c r="HC26" t="e">
        <f>AND(#REF!,"AAAAADb1Z9I=")</f>
        <v>#REF!</v>
      </c>
      <c r="HD26" t="e">
        <f>AND(#REF!,"AAAAADb1Z9M=")</f>
        <v>#REF!</v>
      </c>
      <c r="HE26" t="e">
        <f>AND(#REF!,"AAAAADb1Z9Q=")</f>
        <v>#REF!</v>
      </c>
      <c r="HF26" t="e">
        <f>AND(#REF!,"AAAAADb1Z9U=")</f>
        <v>#REF!</v>
      </c>
      <c r="HG26" t="e">
        <f>AND(#REF!,"AAAAADb1Z9Y=")</f>
        <v>#REF!</v>
      </c>
      <c r="HH26" t="e">
        <f>AND(#REF!,"AAAAADb1Z9c=")</f>
        <v>#REF!</v>
      </c>
      <c r="HI26" t="e">
        <f>AND(#REF!,"AAAAADb1Z9g=")</f>
        <v>#REF!</v>
      </c>
      <c r="HJ26" t="e">
        <f>AND(#REF!,"AAAAADb1Z9k=")</f>
        <v>#REF!</v>
      </c>
      <c r="HK26" t="e">
        <f>AND(#REF!,"AAAAADb1Z9o=")</f>
        <v>#REF!</v>
      </c>
      <c r="HL26" t="e">
        <f>AND(#REF!,"AAAAADb1Z9s=")</f>
        <v>#REF!</v>
      </c>
      <c r="HM26" t="e">
        <f>AND(#REF!,"AAAAADb1Z9w=")</f>
        <v>#REF!</v>
      </c>
      <c r="HN26" t="e">
        <f>AND(#REF!,"AAAAADb1Z90=")</f>
        <v>#REF!</v>
      </c>
      <c r="HO26" t="e">
        <f>AND(#REF!,"AAAAADb1Z94=")</f>
        <v>#REF!</v>
      </c>
      <c r="HP26" t="e">
        <f>AND(#REF!,"AAAAADb1Z98=")</f>
        <v>#REF!</v>
      </c>
      <c r="HQ26" t="e">
        <f>AND(#REF!,"AAAAADb1Z+A=")</f>
        <v>#REF!</v>
      </c>
      <c r="HR26" t="e">
        <f>AND(#REF!,"AAAAADb1Z+E=")</f>
        <v>#REF!</v>
      </c>
      <c r="HS26" t="e">
        <f>AND(#REF!,"AAAAADb1Z+I=")</f>
        <v>#REF!</v>
      </c>
      <c r="HT26" t="e">
        <f>AND(#REF!,"AAAAADb1Z+M=")</f>
        <v>#REF!</v>
      </c>
      <c r="HU26" t="e">
        <f>AND(#REF!,"AAAAADb1Z+Q=")</f>
        <v>#REF!</v>
      </c>
      <c r="HV26" t="e">
        <f>AND(#REF!,"AAAAADb1Z+U=")</f>
        <v>#REF!</v>
      </c>
      <c r="HW26" t="e">
        <f>AND(#REF!,"AAAAADb1Z+Y=")</f>
        <v>#REF!</v>
      </c>
      <c r="HX26" t="e">
        <f>AND(#REF!,"AAAAADb1Z+c=")</f>
        <v>#REF!</v>
      </c>
      <c r="HY26" t="e">
        <f>AND(#REF!,"AAAAADb1Z+g=")</f>
        <v>#REF!</v>
      </c>
      <c r="HZ26" t="e">
        <f>AND(#REF!,"AAAAADb1Z+k=")</f>
        <v>#REF!</v>
      </c>
      <c r="IA26" t="e">
        <f>AND(#REF!,"AAAAADb1Z+o=")</f>
        <v>#REF!</v>
      </c>
      <c r="IB26" t="e">
        <f>AND(#REF!,"AAAAADb1Z+s=")</f>
        <v>#REF!</v>
      </c>
      <c r="IC26" t="e">
        <f>AND(#REF!,"AAAAADb1Z+w=")</f>
        <v>#REF!</v>
      </c>
      <c r="ID26" t="e">
        <f>AND(#REF!,"AAAAADb1Z+0=")</f>
        <v>#REF!</v>
      </c>
      <c r="IE26" t="e">
        <f>AND(#REF!,"AAAAADb1Z+4=")</f>
        <v>#REF!</v>
      </c>
      <c r="IF26" t="e">
        <f>AND(#REF!,"AAAAADb1Z+8=")</f>
        <v>#REF!</v>
      </c>
      <c r="IG26" t="e">
        <f>AND(#REF!,"AAAAADb1Z/A=")</f>
        <v>#REF!</v>
      </c>
      <c r="IH26" t="e">
        <f>AND(#REF!,"AAAAADb1Z/E=")</f>
        <v>#REF!</v>
      </c>
      <c r="II26" t="e">
        <f>AND(#REF!,"AAAAADb1Z/I=")</f>
        <v>#REF!</v>
      </c>
      <c r="IJ26" t="e">
        <f>AND(#REF!,"AAAAADb1Z/M=")</f>
        <v>#REF!</v>
      </c>
      <c r="IK26" t="e">
        <f>AND(#REF!,"AAAAADb1Z/Q=")</f>
        <v>#REF!</v>
      </c>
      <c r="IL26" t="e">
        <f>AND(#REF!,"AAAAADb1Z/U=")</f>
        <v>#REF!</v>
      </c>
      <c r="IM26" t="e">
        <f>AND(#REF!,"AAAAADb1Z/Y=")</f>
        <v>#REF!</v>
      </c>
      <c r="IN26" t="e">
        <f>AND(#REF!,"AAAAADb1Z/c=")</f>
        <v>#REF!</v>
      </c>
      <c r="IO26" t="e">
        <f>AND(#REF!,"AAAAADb1Z/g=")</f>
        <v>#REF!</v>
      </c>
      <c r="IP26" t="e">
        <f>AND(#REF!,"AAAAADb1Z/k=")</f>
        <v>#REF!</v>
      </c>
      <c r="IQ26" t="e">
        <f>AND(#REF!,"AAAAADb1Z/o=")</f>
        <v>#REF!</v>
      </c>
      <c r="IR26" t="e">
        <f>AND(#REF!,"AAAAADb1Z/s=")</f>
        <v>#REF!</v>
      </c>
      <c r="IS26" t="e">
        <f>AND(#REF!,"AAAAADb1Z/w=")</f>
        <v>#REF!</v>
      </c>
      <c r="IT26" t="e">
        <f>AND(#REF!,"AAAAADb1Z/0=")</f>
        <v>#REF!</v>
      </c>
      <c r="IU26" t="e">
        <f>AND(#REF!,"AAAAADb1Z/4=")</f>
        <v>#REF!</v>
      </c>
      <c r="IV26" t="e">
        <f>AND(#REF!,"AAAAADb1Z/8=")</f>
        <v>#REF!</v>
      </c>
    </row>
    <row r="27" spans="1:256" x14ac:dyDescent="0.25">
      <c r="A27" t="e">
        <f>AND(#REF!,"AAAAAG9//wA=")</f>
        <v>#REF!</v>
      </c>
      <c r="B27" t="e">
        <f>AND(#REF!,"AAAAAG9//wE=")</f>
        <v>#REF!</v>
      </c>
      <c r="C27" t="e">
        <f>AND(#REF!,"AAAAAG9//wI=")</f>
        <v>#REF!</v>
      </c>
      <c r="D27" t="e">
        <f>AND(#REF!,"AAAAAG9//wM=")</f>
        <v>#REF!</v>
      </c>
      <c r="E27" t="e">
        <f>AND(#REF!,"AAAAAG9//wQ=")</f>
        <v>#REF!</v>
      </c>
      <c r="F27" t="e">
        <f>AND(#REF!,"AAAAAG9//wU=")</f>
        <v>#REF!</v>
      </c>
      <c r="G27" t="e">
        <f>AND(#REF!,"AAAAAG9//wY=")</f>
        <v>#REF!</v>
      </c>
      <c r="H27" t="e">
        <f>AND(#REF!,"AAAAAG9//wc=")</f>
        <v>#REF!</v>
      </c>
      <c r="I27" t="e">
        <f>AND(#REF!,"AAAAAG9//wg=")</f>
        <v>#REF!</v>
      </c>
      <c r="J27" t="e">
        <f>AND(#REF!,"AAAAAG9//wk=")</f>
        <v>#REF!</v>
      </c>
      <c r="K27" t="e">
        <f>AND(#REF!,"AAAAAG9//wo=")</f>
        <v>#REF!</v>
      </c>
      <c r="L27" t="e">
        <f>AND(#REF!,"AAAAAG9//ws=")</f>
        <v>#REF!</v>
      </c>
      <c r="M27" t="e">
        <f>AND(#REF!,"AAAAAG9//ww=")</f>
        <v>#REF!</v>
      </c>
      <c r="N27" t="e">
        <f>AND(#REF!,"AAAAAG9//w0=")</f>
        <v>#REF!</v>
      </c>
      <c r="O27" t="e">
        <f>AND(#REF!,"AAAAAG9//w4=")</f>
        <v>#REF!</v>
      </c>
      <c r="P27" t="e">
        <f>AND(#REF!,"AAAAAG9//w8=")</f>
        <v>#REF!</v>
      </c>
      <c r="Q27" t="e">
        <f>AND(#REF!,"AAAAAG9//xA=")</f>
        <v>#REF!</v>
      </c>
      <c r="R27" t="e">
        <f>AND(#REF!,"AAAAAG9//xE=")</f>
        <v>#REF!</v>
      </c>
      <c r="S27" t="e">
        <f>AND(#REF!,"AAAAAG9//xI=")</f>
        <v>#REF!</v>
      </c>
      <c r="T27" t="e">
        <f>IF(#REF!,"AAAAAG9//xM=",0)</f>
        <v>#REF!</v>
      </c>
      <c r="U27" t="e">
        <f>AND(#REF!,"AAAAAG9//xQ=")</f>
        <v>#REF!</v>
      </c>
      <c r="V27" t="e">
        <f>AND(#REF!,"AAAAAG9//xU=")</f>
        <v>#REF!</v>
      </c>
      <c r="W27" t="e">
        <f>AND(#REF!,"AAAAAG9//xY=")</f>
        <v>#REF!</v>
      </c>
      <c r="X27" t="e">
        <f>AND(#REF!,"AAAAAG9//xc=")</f>
        <v>#REF!</v>
      </c>
      <c r="Y27" t="e">
        <f>AND(#REF!,"AAAAAG9//xg=")</f>
        <v>#REF!</v>
      </c>
      <c r="Z27" t="e">
        <f>AND(#REF!,"AAAAAG9//xk=")</f>
        <v>#REF!</v>
      </c>
      <c r="AA27" t="e">
        <f>AND(#REF!,"AAAAAG9//xo=")</f>
        <v>#REF!</v>
      </c>
      <c r="AB27" t="e">
        <f>AND(#REF!,"AAAAAG9//xs=")</f>
        <v>#REF!</v>
      </c>
      <c r="AC27" t="e">
        <f>AND(#REF!,"AAAAAG9//xw=")</f>
        <v>#REF!</v>
      </c>
      <c r="AD27" t="e">
        <f>AND(#REF!,"AAAAAG9//x0=")</f>
        <v>#REF!</v>
      </c>
      <c r="AE27" t="e">
        <f>AND(#REF!,"AAAAAG9//x4=")</f>
        <v>#REF!</v>
      </c>
      <c r="AF27" t="e">
        <f>AND(#REF!,"AAAAAG9//x8=")</f>
        <v>#REF!</v>
      </c>
      <c r="AG27" t="e">
        <f>AND(#REF!,"AAAAAG9//yA=")</f>
        <v>#REF!</v>
      </c>
      <c r="AH27" t="e">
        <f>AND(#REF!,"AAAAAG9//yE=")</f>
        <v>#REF!</v>
      </c>
      <c r="AI27" t="e">
        <f>AND(#REF!,"AAAAAG9//yI=")</f>
        <v>#REF!</v>
      </c>
      <c r="AJ27" t="e">
        <f>AND(#REF!,"AAAAAG9//yM=")</f>
        <v>#REF!</v>
      </c>
      <c r="AK27" t="e">
        <f>AND(#REF!,"AAAAAG9//yQ=")</f>
        <v>#REF!</v>
      </c>
      <c r="AL27" t="e">
        <f>AND(#REF!,"AAAAAG9//yU=")</f>
        <v>#REF!</v>
      </c>
      <c r="AM27" t="e">
        <f>AND(#REF!,"AAAAAG9//yY=")</f>
        <v>#REF!</v>
      </c>
      <c r="AN27" t="e">
        <f>AND(#REF!,"AAAAAG9//yc=")</f>
        <v>#REF!</v>
      </c>
      <c r="AO27" t="e">
        <f>AND(#REF!,"AAAAAG9//yg=")</f>
        <v>#REF!</v>
      </c>
      <c r="AP27" t="e">
        <f>AND(#REF!,"AAAAAG9//yk=")</f>
        <v>#REF!</v>
      </c>
      <c r="AQ27" t="e">
        <f>AND(#REF!,"AAAAAG9//yo=")</f>
        <v>#REF!</v>
      </c>
      <c r="AR27" t="e">
        <f>AND(#REF!,"AAAAAG9//ys=")</f>
        <v>#REF!</v>
      </c>
      <c r="AS27" t="e">
        <f>AND(#REF!,"AAAAAG9//yw=")</f>
        <v>#REF!</v>
      </c>
      <c r="AT27" t="e">
        <f>AND(#REF!,"AAAAAG9//y0=")</f>
        <v>#REF!</v>
      </c>
      <c r="AU27" t="e">
        <f>AND(#REF!,"AAAAAG9//y4=")</f>
        <v>#REF!</v>
      </c>
      <c r="AV27" t="e">
        <f>AND(#REF!,"AAAAAG9//y8=")</f>
        <v>#REF!</v>
      </c>
      <c r="AW27" t="e">
        <f>AND(#REF!,"AAAAAG9//zA=")</f>
        <v>#REF!</v>
      </c>
      <c r="AX27" t="e">
        <f>AND(#REF!,"AAAAAG9//zE=")</f>
        <v>#REF!</v>
      </c>
      <c r="AY27" t="e">
        <f>AND(#REF!,"AAAAAG9//zI=")</f>
        <v>#REF!</v>
      </c>
      <c r="AZ27" t="e">
        <f>AND(#REF!,"AAAAAG9//zM=")</f>
        <v>#REF!</v>
      </c>
      <c r="BA27" t="e">
        <f>AND(#REF!,"AAAAAG9//zQ=")</f>
        <v>#REF!</v>
      </c>
      <c r="BB27" t="e">
        <f>AND(#REF!,"AAAAAG9//zU=")</f>
        <v>#REF!</v>
      </c>
      <c r="BC27" t="e">
        <f>AND(#REF!,"AAAAAG9//zY=")</f>
        <v>#REF!</v>
      </c>
      <c r="BD27" t="e">
        <f>AND(#REF!,"AAAAAG9//zc=")</f>
        <v>#REF!</v>
      </c>
      <c r="BE27" t="e">
        <f>AND(#REF!,"AAAAAG9//zg=")</f>
        <v>#REF!</v>
      </c>
      <c r="BF27" t="e">
        <f>AND(#REF!,"AAAAAG9//zk=")</f>
        <v>#REF!</v>
      </c>
      <c r="BG27" t="e">
        <f>AND(#REF!,"AAAAAG9//zo=")</f>
        <v>#REF!</v>
      </c>
      <c r="BH27" t="e">
        <f>AND(#REF!,"AAAAAG9//zs=")</f>
        <v>#REF!</v>
      </c>
      <c r="BI27" t="e">
        <f>AND(#REF!,"AAAAAG9//zw=")</f>
        <v>#REF!</v>
      </c>
      <c r="BJ27" t="e">
        <f>AND(#REF!,"AAAAAG9//z0=")</f>
        <v>#REF!</v>
      </c>
      <c r="BK27" t="e">
        <f>AND(#REF!,"AAAAAG9//z4=")</f>
        <v>#REF!</v>
      </c>
      <c r="BL27" t="e">
        <f>AND(#REF!,"AAAAAG9//z8=")</f>
        <v>#REF!</v>
      </c>
      <c r="BM27" t="e">
        <f>AND(#REF!,"AAAAAG9//0A=")</f>
        <v>#REF!</v>
      </c>
      <c r="BN27" t="e">
        <f>AND(#REF!,"AAAAAG9//0E=")</f>
        <v>#REF!</v>
      </c>
      <c r="BO27" t="e">
        <f>AND(#REF!,"AAAAAG9//0I=")</f>
        <v>#REF!</v>
      </c>
      <c r="BP27" t="e">
        <f>AND(#REF!,"AAAAAG9//0M=")</f>
        <v>#REF!</v>
      </c>
      <c r="BQ27" t="e">
        <f>AND(#REF!,"AAAAAG9//0Q=")</f>
        <v>#REF!</v>
      </c>
      <c r="BR27" t="e">
        <f>AND(#REF!,"AAAAAG9//0U=")</f>
        <v>#REF!</v>
      </c>
      <c r="BS27" t="e">
        <f>AND(#REF!,"AAAAAG9//0Y=")</f>
        <v>#REF!</v>
      </c>
      <c r="BT27" t="e">
        <f>AND(#REF!,"AAAAAG9//0c=")</f>
        <v>#REF!</v>
      </c>
      <c r="BU27" t="e">
        <f>AND(#REF!,"AAAAAG9//0g=")</f>
        <v>#REF!</v>
      </c>
      <c r="BV27" t="e">
        <f>AND(#REF!,"AAAAAG9//0k=")</f>
        <v>#REF!</v>
      </c>
      <c r="BW27" t="e">
        <f>AND(#REF!,"AAAAAG9//0o=")</f>
        <v>#REF!</v>
      </c>
      <c r="BX27" t="e">
        <f>AND(#REF!,"AAAAAG9//0s=")</f>
        <v>#REF!</v>
      </c>
      <c r="BY27" t="e">
        <f>AND(#REF!,"AAAAAG9//0w=")</f>
        <v>#REF!</v>
      </c>
      <c r="BZ27" t="e">
        <f>AND(#REF!,"AAAAAG9//00=")</f>
        <v>#REF!</v>
      </c>
      <c r="CA27" t="e">
        <f>AND(#REF!,"AAAAAG9//04=")</f>
        <v>#REF!</v>
      </c>
      <c r="CB27" t="e">
        <f>AND(#REF!,"AAAAAG9//08=")</f>
        <v>#REF!</v>
      </c>
      <c r="CC27" t="e">
        <f>AND(#REF!,"AAAAAG9//1A=")</f>
        <v>#REF!</v>
      </c>
      <c r="CD27" t="e">
        <f>AND(#REF!,"AAAAAG9//1E=")</f>
        <v>#REF!</v>
      </c>
      <c r="CE27" t="e">
        <f>AND(#REF!,"AAAAAG9//1I=")</f>
        <v>#REF!</v>
      </c>
      <c r="CF27" t="e">
        <f>AND(#REF!,"AAAAAG9//1M=")</f>
        <v>#REF!</v>
      </c>
      <c r="CG27" t="e">
        <f>AND(#REF!,"AAAAAG9//1Q=")</f>
        <v>#REF!</v>
      </c>
      <c r="CH27" t="e">
        <f>AND(#REF!,"AAAAAG9//1U=")</f>
        <v>#REF!</v>
      </c>
      <c r="CI27" t="e">
        <f>AND(#REF!,"AAAAAG9//1Y=")</f>
        <v>#REF!</v>
      </c>
      <c r="CJ27" t="e">
        <f>AND(#REF!,"AAAAAG9//1c=")</f>
        <v>#REF!</v>
      </c>
      <c r="CK27" t="e">
        <f>AND(#REF!,"AAAAAG9//1g=")</f>
        <v>#REF!</v>
      </c>
      <c r="CL27" t="e">
        <f>AND(#REF!,"AAAAAG9//1k=")</f>
        <v>#REF!</v>
      </c>
      <c r="CM27" t="e">
        <f>AND(#REF!,"AAAAAG9//1o=")</f>
        <v>#REF!</v>
      </c>
      <c r="CN27" t="e">
        <f>AND(#REF!,"AAAAAG9//1s=")</f>
        <v>#REF!</v>
      </c>
      <c r="CO27" t="e">
        <f>AND(#REF!,"AAAAAG9//1w=")</f>
        <v>#REF!</v>
      </c>
      <c r="CP27" t="e">
        <f>AND(#REF!,"AAAAAG9//10=")</f>
        <v>#REF!</v>
      </c>
      <c r="CQ27" t="e">
        <f>AND(#REF!,"AAAAAG9//14=")</f>
        <v>#REF!</v>
      </c>
      <c r="CR27" t="e">
        <f>AND(#REF!,"AAAAAG9//18=")</f>
        <v>#REF!</v>
      </c>
      <c r="CS27" t="e">
        <f>AND(#REF!,"AAAAAG9//2A=")</f>
        <v>#REF!</v>
      </c>
      <c r="CT27" t="e">
        <f>AND(#REF!,"AAAAAG9//2E=")</f>
        <v>#REF!</v>
      </c>
      <c r="CU27" t="e">
        <f>AND(#REF!,"AAAAAG9//2I=")</f>
        <v>#REF!</v>
      </c>
      <c r="CV27" t="e">
        <f>AND(#REF!,"AAAAAG9//2M=")</f>
        <v>#REF!</v>
      </c>
      <c r="CW27" t="e">
        <f>AND(#REF!,"AAAAAG9//2Q=")</f>
        <v>#REF!</v>
      </c>
      <c r="CX27" t="e">
        <f>AND(#REF!,"AAAAAG9//2U=")</f>
        <v>#REF!</v>
      </c>
      <c r="CY27" t="e">
        <f>AND(#REF!,"AAAAAG9//2Y=")</f>
        <v>#REF!</v>
      </c>
      <c r="CZ27" t="e">
        <f>AND(#REF!,"AAAAAG9//2c=")</f>
        <v>#REF!</v>
      </c>
      <c r="DA27" t="e">
        <f>AND(#REF!,"AAAAAG9//2g=")</f>
        <v>#REF!</v>
      </c>
      <c r="DB27" t="e">
        <f>AND(#REF!,"AAAAAG9//2k=")</f>
        <v>#REF!</v>
      </c>
      <c r="DC27" t="e">
        <f>AND(#REF!,"AAAAAG9//2o=")</f>
        <v>#REF!</v>
      </c>
      <c r="DD27" t="e">
        <f>AND(#REF!,"AAAAAG9//2s=")</f>
        <v>#REF!</v>
      </c>
      <c r="DE27" t="e">
        <f>AND(#REF!,"AAAAAG9//2w=")</f>
        <v>#REF!</v>
      </c>
      <c r="DF27" t="e">
        <f>AND(#REF!,"AAAAAG9//20=")</f>
        <v>#REF!</v>
      </c>
      <c r="DG27" t="e">
        <f>AND(#REF!,"AAAAAG9//24=")</f>
        <v>#REF!</v>
      </c>
      <c r="DH27" t="e">
        <f>AND(#REF!,"AAAAAG9//28=")</f>
        <v>#REF!</v>
      </c>
      <c r="DI27" t="e">
        <f>AND(#REF!,"AAAAAG9//3A=")</f>
        <v>#REF!</v>
      </c>
      <c r="DJ27" t="e">
        <f>AND(#REF!,"AAAAAG9//3E=")</f>
        <v>#REF!</v>
      </c>
      <c r="DK27" t="e">
        <f>AND(#REF!,"AAAAAG9//3I=")</f>
        <v>#REF!</v>
      </c>
      <c r="DL27" t="e">
        <f>AND(#REF!,"AAAAAG9//3M=")</f>
        <v>#REF!</v>
      </c>
      <c r="DM27" t="e">
        <f>AND(#REF!,"AAAAAG9//3Q=")</f>
        <v>#REF!</v>
      </c>
      <c r="DN27" t="e">
        <f>AND(#REF!,"AAAAAG9//3U=")</f>
        <v>#REF!</v>
      </c>
      <c r="DO27" t="e">
        <f>AND(#REF!,"AAAAAG9//3Y=")</f>
        <v>#REF!</v>
      </c>
      <c r="DP27" t="e">
        <f>AND(#REF!,"AAAAAG9//3c=")</f>
        <v>#REF!</v>
      </c>
      <c r="DQ27" t="e">
        <f>AND(#REF!,"AAAAAG9//3g=")</f>
        <v>#REF!</v>
      </c>
      <c r="DR27" t="e">
        <f>AND(#REF!,"AAAAAG9//3k=")</f>
        <v>#REF!</v>
      </c>
      <c r="DS27" t="e">
        <f>AND(#REF!,"AAAAAG9//3o=")</f>
        <v>#REF!</v>
      </c>
      <c r="DT27" t="e">
        <f>AND(#REF!,"AAAAAG9//3s=")</f>
        <v>#REF!</v>
      </c>
      <c r="DU27" t="e">
        <f>AND(#REF!,"AAAAAG9//3w=")</f>
        <v>#REF!</v>
      </c>
      <c r="DV27" t="e">
        <f>AND(#REF!,"AAAAAG9//30=")</f>
        <v>#REF!</v>
      </c>
      <c r="DW27" t="e">
        <f>AND(#REF!,"AAAAAG9//34=")</f>
        <v>#REF!</v>
      </c>
      <c r="DX27" t="e">
        <f>AND(#REF!,"AAAAAG9//38=")</f>
        <v>#REF!</v>
      </c>
      <c r="DY27" t="e">
        <f>AND(#REF!,"AAAAAG9//4A=")</f>
        <v>#REF!</v>
      </c>
      <c r="DZ27" t="e">
        <f>AND(#REF!,"AAAAAG9//4E=")</f>
        <v>#REF!</v>
      </c>
      <c r="EA27" t="e">
        <f>AND(#REF!,"AAAAAG9//4I=")</f>
        <v>#REF!</v>
      </c>
      <c r="EB27" t="e">
        <f>AND(#REF!,"AAAAAG9//4M=")</f>
        <v>#REF!</v>
      </c>
      <c r="EC27" t="e">
        <f>AND(#REF!,"AAAAAG9//4Q=")</f>
        <v>#REF!</v>
      </c>
      <c r="ED27" t="e">
        <f>AND(#REF!,"AAAAAG9//4U=")</f>
        <v>#REF!</v>
      </c>
      <c r="EE27" t="e">
        <f>AND(#REF!,"AAAAAG9//4Y=")</f>
        <v>#REF!</v>
      </c>
      <c r="EF27" t="e">
        <f>AND(#REF!,"AAAAAG9//4c=")</f>
        <v>#REF!</v>
      </c>
      <c r="EG27" t="e">
        <f>AND(#REF!,"AAAAAG9//4g=")</f>
        <v>#REF!</v>
      </c>
      <c r="EH27" t="e">
        <f>AND(#REF!,"AAAAAG9//4k=")</f>
        <v>#REF!</v>
      </c>
      <c r="EI27" t="e">
        <f>AND(#REF!,"AAAAAG9//4o=")</f>
        <v>#REF!</v>
      </c>
      <c r="EJ27" t="e">
        <f>AND(#REF!,"AAAAAG9//4s=")</f>
        <v>#REF!</v>
      </c>
      <c r="EK27" t="e">
        <f>AND(#REF!,"AAAAAG9//4w=")</f>
        <v>#REF!</v>
      </c>
      <c r="EL27" t="e">
        <f>AND(#REF!,"AAAAAG9//40=")</f>
        <v>#REF!</v>
      </c>
      <c r="EM27" t="e">
        <f>AND(#REF!,"AAAAAG9//44=")</f>
        <v>#REF!</v>
      </c>
      <c r="EN27" t="e">
        <f>AND(#REF!,"AAAAAG9//48=")</f>
        <v>#REF!</v>
      </c>
      <c r="EO27" t="e">
        <f>AND(#REF!,"AAAAAG9//5A=")</f>
        <v>#REF!</v>
      </c>
      <c r="EP27" t="e">
        <f>AND(#REF!,"AAAAAG9//5E=")</f>
        <v>#REF!</v>
      </c>
      <c r="EQ27" t="e">
        <f>AND(#REF!,"AAAAAG9//5I=")</f>
        <v>#REF!</v>
      </c>
      <c r="ER27" t="e">
        <f>AND(#REF!,"AAAAAG9//5M=")</f>
        <v>#REF!</v>
      </c>
      <c r="ES27" t="e">
        <f>AND(#REF!,"AAAAAG9//5Q=")</f>
        <v>#REF!</v>
      </c>
      <c r="ET27" t="e">
        <f>AND(#REF!,"AAAAAG9//5U=")</f>
        <v>#REF!</v>
      </c>
      <c r="EU27" t="e">
        <f>AND(#REF!,"AAAAAG9//5Y=")</f>
        <v>#REF!</v>
      </c>
      <c r="EV27" t="e">
        <f>AND(#REF!,"AAAAAG9//5c=")</f>
        <v>#REF!</v>
      </c>
      <c r="EW27" t="e">
        <f>AND(#REF!,"AAAAAG9//5g=")</f>
        <v>#REF!</v>
      </c>
      <c r="EX27" t="e">
        <f>AND(#REF!,"AAAAAG9//5k=")</f>
        <v>#REF!</v>
      </c>
      <c r="EY27" t="e">
        <f>AND(#REF!,"AAAAAG9//5o=")</f>
        <v>#REF!</v>
      </c>
      <c r="EZ27" t="e">
        <f>AND(#REF!,"AAAAAG9//5s=")</f>
        <v>#REF!</v>
      </c>
      <c r="FA27" t="e">
        <f>AND(#REF!,"AAAAAG9//5w=")</f>
        <v>#REF!</v>
      </c>
      <c r="FB27" t="e">
        <f>AND(#REF!,"AAAAAG9//50=")</f>
        <v>#REF!</v>
      </c>
      <c r="FC27" t="e">
        <f>AND(#REF!,"AAAAAG9//54=")</f>
        <v>#REF!</v>
      </c>
      <c r="FD27" t="e">
        <f>AND(#REF!,"AAAAAG9//58=")</f>
        <v>#REF!</v>
      </c>
      <c r="FE27" t="e">
        <f>AND(#REF!,"AAAAAG9//6A=")</f>
        <v>#REF!</v>
      </c>
      <c r="FF27" t="e">
        <f>AND(#REF!,"AAAAAG9//6E=")</f>
        <v>#REF!</v>
      </c>
      <c r="FG27" t="e">
        <f>AND(#REF!,"AAAAAG9//6I=")</f>
        <v>#REF!</v>
      </c>
      <c r="FH27" t="e">
        <f>AND(#REF!,"AAAAAG9//6M=")</f>
        <v>#REF!</v>
      </c>
      <c r="FI27" t="e">
        <f>AND(#REF!,"AAAAAG9//6Q=")</f>
        <v>#REF!</v>
      </c>
      <c r="FJ27" t="e">
        <f>AND(#REF!,"AAAAAG9//6U=")</f>
        <v>#REF!</v>
      </c>
      <c r="FK27" t="e">
        <f>AND(#REF!,"AAAAAG9//6Y=")</f>
        <v>#REF!</v>
      </c>
      <c r="FL27" t="e">
        <f>AND(#REF!,"AAAAAG9//6c=")</f>
        <v>#REF!</v>
      </c>
      <c r="FM27" t="e">
        <f>AND(#REF!,"AAAAAG9//6g=")</f>
        <v>#REF!</v>
      </c>
      <c r="FN27" t="e">
        <f>AND(#REF!,"AAAAAG9//6k=")</f>
        <v>#REF!</v>
      </c>
      <c r="FO27" t="e">
        <f>AND(#REF!,"AAAAAG9//6o=")</f>
        <v>#REF!</v>
      </c>
      <c r="FP27" t="e">
        <f>AND(#REF!,"AAAAAG9//6s=")</f>
        <v>#REF!</v>
      </c>
      <c r="FQ27" t="e">
        <f>AND(#REF!,"AAAAAG9//6w=")</f>
        <v>#REF!</v>
      </c>
      <c r="FR27" t="e">
        <f>AND(#REF!,"AAAAAG9//60=")</f>
        <v>#REF!</v>
      </c>
      <c r="FS27" t="e">
        <f>AND(#REF!,"AAAAAG9//64=")</f>
        <v>#REF!</v>
      </c>
      <c r="FT27" t="e">
        <f>AND(#REF!,"AAAAAG9//68=")</f>
        <v>#REF!</v>
      </c>
      <c r="FU27" t="e">
        <f>AND(#REF!,"AAAAAG9//7A=")</f>
        <v>#REF!</v>
      </c>
      <c r="FV27" t="e">
        <f>AND(#REF!,"AAAAAG9//7E=")</f>
        <v>#REF!</v>
      </c>
      <c r="FW27" t="e">
        <f>AND(#REF!,"AAAAAG9//7I=")</f>
        <v>#REF!</v>
      </c>
      <c r="FX27" t="e">
        <f>AND(#REF!,"AAAAAG9//7M=")</f>
        <v>#REF!</v>
      </c>
      <c r="FY27" t="e">
        <f>AND(#REF!,"AAAAAG9//7Q=")</f>
        <v>#REF!</v>
      </c>
      <c r="FZ27" t="e">
        <f>AND(#REF!,"AAAAAG9//7U=")</f>
        <v>#REF!</v>
      </c>
      <c r="GA27" t="e">
        <f>AND(#REF!,"AAAAAG9//7Y=")</f>
        <v>#REF!</v>
      </c>
      <c r="GB27" t="e">
        <f>AND(#REF!,"AAAAAG9//7c=")</f>
        <v>#REF!</v>
      </c>
      <c r="GC27" t="e">
        <f>AND(#REF!,"AAAAAG9//7g=")</f>
        <v>#REF!</v>
      </c>
      <c r="GD27" t="e">
        <f>AND(#REF!,"AAAAAG9//7k=")</f>
        <v>#REF!</v>
      </c>
      <c r="GE27" t="e">
        <f>AND(#REF!,"AAAAAG9//7o=")</f>
        <v>#REF!</v>
      </c>
      <c r="GF27" t="e">
        <f>AND(#REF!,"AAAAAG9//7s=")</f>
        <v>#REF!</v>
      </c>
      <c r="GG27" t="e">
        <f>AND(#REF!,"AAAAAG9//7w=")</f>
        <v>#REF!</v>
      </c>
      <c r="GH27" t="e">
        <f>AND(#REF!,"AAAAAG9//70=")</f>
        <v>#REF!</v>
      </c>
      <c r="GI27" t="e">
        <f>AND(#REF!,"AAAAAG9//74=")</f>
        <v>#REF!</v>
      </c>
      <c r="GJ27" t="e">
        <f>AND(#REF!,"AAAAAG9//78=")</f>
        <v>#REF!</v>
      </c>
      <c r="GK27" t="e">
        <f>AND(#REF!,"AAAAAG9//8A=")</f>
        <v>#REF!</v>
      </c>
      <c r="GL27" t="e">
        <f>AND(#REF!,"AAAAAG9//8E=")</f>
        <v>#REF!</v>
      </c>
      <c r="GM27" t="e">
        <f>AND(#REF!,"AAAAAG9//8I=")</f>
        <v>#REF!</v>
      </c>
      <c r="GN27" t="e">
        <f>AND(#REF!,"AAAAAG9//8M=")</f>
        <v>#REF!</v>
      </c>
      <c r="GO27" t="e">
        <f>AND(#REF!,"AAAAAG9//8Q=")</f>
        <v>#REF!</v>
      </c>
      <c r="GP27" t="e">
        <f>AND(#REF!,"AAAAAG9//8U=")</f>
        <v>#REF!</v>
      </c>
      <c r="GQ27" t="e">
        <f>AND(#REF!,"AAAAAG9//8Y=")</f>
        <v>#REF!</v>
      </c>
      <c r="GR27" t="e">
        <f>AND(#REF!,"AAAAAG9//8c=")</f>
        <v>#REF!</v>
      </c>
      <c r="GS27" t="e">
        <f>AND(#REF!,"AAAAAG9//8g=")</f>
        <v>#REF!</v>
      </c>
      <c r="GT27" t="e">
        <f>AND(#REF!,"AAAAAG9//8k=")</f>
        <v>#REF!</v>
      </c>
      <c r="GU27" t="e">
        <f>AND(#REF!,"AAAAAG9//8o=")</f>
        <v>#REF!</v>
      </c>
      <c r="GV27" t="e">
        <f>AND(#REF!,"AAAAAG9//8s=")</f>
        <v>#REF!</v>
      </c>
      <c r="GW27" t="e">
        <f>AND(#REF!,"AAAAAG9//8w=")</f>
        <v>#REF!</v>
      </c>
      <c r="GX27" t="e">
        <f>AND(#REF!,"AAAAAG9//80=")</f>
        <v>#REF!</v>
      </c>
      <c r="GY27" t="e">
        <f>AND(#REF!,"AAAAAG9//84=")</f>
        <v>#REF!</v>
      </c>
      <c r="GZ27" t="e">
        <f>AND(#REF!,"AAAAAG9//88=")</f>
        <v>#REF!</v>
      </c>
      <c r="HA27" t="e">
        <f>AND(#REF!,"AAAAAG9//9A=")</f>
        <v>#REF!</v>
      </c>
      <c r="HB27" t="e">
        <f>AND(#REF!,"AAAAAG9//9E=")</f>
        <v>#REF!</v>
      </c>
      <c r="HC27" t="e">
        <f>AND(#REF!,"AAAAAG9//9I=")</f>
        <v>#REF!</v>
      </c>
      <c r="HD27" t="e">
        <f>AND(#REF!,"AAAAAG9//9M=")</f>
        <v>#REF!</v>
      </c>
      <c r="HE27" t="e">
        <f>AND(#REF!,"AAAAAG9//9Q=")</f>
        <v>#REF!</v>
      </c>
      <c r="HF27" t="e">
        <f>AND(#REF!,"AAAAAG9//9U=")</f>
        <v>#REF!</v>
      </c>
      <c r="HG27" t="e">
        <f>AND(#REF!,"AAAAAG9//9Y=")</f>
        <v>#REF!</v>
      </c>
      <c r="HH27" t="e">
        <f>AND(#REF!,"AAAAAG9//9c=")</f>
        <v>#REF!</v>
      </c>
      <c r="HI27" t="e">
        <f>AND(#REF!,"AAAAAG9//9g=")</f>
        <v>#REF!</v>
      </c>
      <c r="HJ27" t="e">
        <f>AND(#REF!,"AAAAAG9//9k=")</f>
        <v>#REF!</v>
      </c>
      <c r="HK27" t="e">
        <f>AND(#REF!,"AAAAAG9//9o=")</f>
        <v>#REF!</v>
      </c>
      <c r="HL27" t="e">
        <f>AND(#REF!,"AAAAAG9//9s=")</f>
        <v>#REF!</v>
      </c>
      <c r="HM27" t="e">
        <f>AND(#REF!,"AAAAAG9//9w=")</f>
        <v>#REF!</v>
      </c>
      <c r="HN27" t="e">
        <f>AND(#REF!,"AAAAAG9//90=")</f>
        <v>#REF!</v>
      </c>
      <c r="HO27" t="e">
        <f>AND(#REF!,"AAAAAG9//94=")</f>
        <v>#REF!</v>
      </c>
      <c r="HP27" t="e">
        <f>AND(#REF!,"AAAAAG9//98=")</f>
        <v>#REF!</v>
      </c>
      <c r="HQ27" t="e">
        <f>AND(#REF!,"AAAAAG9//+A=")</f>
        <v>#REF!</v>
      </c>
      <c r="HR27" t="e">
        <f>AND(#REF!,"AAAAAG9//+E=")</f>
        <v>#REF!</v>
      </c>
      <c r="HS27" t="e">
        <f>AND(#REF!,"AAAAAG9//+I=")</f>
        <v>#REF!</v>
      </c>
      <c r="HT27" t="e">
        <f>AND(#REF!,"AAAAAG9//+M=")</f>
        <v>#REF!</v>
      </c>
      <c r="HU27" t="e">
        <f>AND(#REF!,"AAAAAG9//+Q=")</f>
        <v>#REF!</v>
      </c>
      <c r="HV27" t="e">
        <f>AND(#REF!,"AAAAAG9//+U=")</f>
        <v>#REF!</v>
      </c>
      <c r="HW27" t="e">
        <f>AND(#REF!,"AAAAAG9//+Y=")</f>
        <v>#REF!</v>
      </c>
      <c r="HX27" t="e">
        <f>AND(#REF!,"AAAAAG9//+c=")</f>
        <v>#REF!</v>
      </c>
      <c r="HY27" t="e">
        <f>AND(#REF!,"AAAAAG9//+g=")</f>
        <v>#REF!</v>
      </c>
      <c r="HZ27" t="e">
        <f>AND(#REF!,"AAAAAG9//+k=")</f>
        <v>#REF!</v>
      </c>
      <c r="IA27" t="e">
        <f>AND(#REF!,"AAAAAG9//+o=")</f>
        <v>#REF!</v>
      </c>
      <c r="IB27" t="e">
        <f>AND(#REF!,"AAAAAG9//+s=")</f>
        <v>#REF!</v>
      </c>
      <c r="IC27" t="e">
        <f>AND(#REF!,"AAAAAG9//+w=")</f>
        <v>#REF!</v>
      </c>
      <c r="ID27" t="e">
        <f>AND(#REF!,"AAAAAG9//+0=")</f>
        <v>#REF!</v>
      </c>
      <c r="IE27" t="e">
        <f>AND(#REF!,"AAAAAG9//+4=")</f>
        <v>#REF!</v>
      </c>
      <c r="IF27" t="e">
        <f>AND(#REF!,"AAAAAG9//+8=")</f>
        <v>#REF!</v>
      </c>
      <c r="IG27" t="e">
        <f>AND(#REF!,"AAAAAG9///A=")</f>
        <v>#REF!</v>
      </c>
      <c r="IH27" t="e">
        <f>AND(#REF!,"AAAAAG9///E=")</f>
        <v>#REF!</v>
      </c>
      <c r="II27" t="e">
        <f>AND(#REF!,"AAAAAG9///I=")</f>
        <v>#REF!</v>
      </c>
      <c r="IJ27" t="e">
        <f>AND(#REF!,"AAAAAG9///M=")</f>
        <v>#REF!</v>
      </c>
      <c r="IK27" t="e">
        <f>AND(#REF!,"AAAAAG9///Q=")</f>
        <v>#REF!</v>
      </c>
      <c r="IL27" t="e">
        <f>AND(#REF!,"AAAAAG9///U=")</f>
        <v>#REF!</v>
      </c>
      <c r="IM27" t="e">
        <f>AND(#REF!,"AAAAAG9///Y=")</f>
        <v>#REF!</v>
      </c>
      <c r="IN27" t="e">
        <f>AND(#REF!,"AAAAAG9///c=")</f>
        <v>#REF!</v>
      </c>
      <c r="IO27" t="e">
        <f>AND(#REF!,"AAAAAG9///g=")</f>
        <v>#REF!</v>
      </c>
      <c r="IP27" t="e">
        <f>AND(#REF!,"AAAAAG9///k=")</f>
        <v>#REF!</v>
      </c>
      <c r="IQ27" t="e">
        <f>AND(#REF!,"AAAAAG9///o=")</f>
        <v>#REF!</v>
      </c>
      <c r="IR27" t="e">
        <f>AND(#REF!,"AAAAAG9///s=")</f>
        <v>#REF!</v>
      </c>
      <c r="IS27" t="e">
        <f>AND(#REF!,"AAAAAG9///w=")</f>
        <v>#REF!</v>
      </c>
      <c r="IT27" t="e">
        <f>AND(#REF!,"AAAAAG9///0=")</f>
        <v>#REF!</v>
      </c>
      <c r="IU27" t="e">
        <f>AND(#REF!,"AAAAAG9///4=")</f>
        <v>#REF!</v>
      </c>
      <c r="IV27" t="e">
        <f>AND(#REF!,"AAAAAG9///8=")</f>
        <v>#REF!</v>
      </c>
    </row>
    <row r="28" spans="1:256" x14ac:dyDescent="0.25">
      <c r="A28" t="e">
        <f>AND(#REF!,"AAAAAHvf7wA=")</f>
        <v>#REF!</v>
      </c>
      <c r="B28" t="e">
        <f>AND(#REF!,"AAAAAHvf7wE=")</f>
        <v>#REF!</v>
      </c>
      <c r="C28" t="e">
        <f>AND(#REF!,"AAAAAHvf7wI=")</f>
        <v>#REF!</v>
      </c>
      <c r="D28" t="e">
        <f>AND(#REF!,"AAAAAHvf7wM=")</f>
        <v>#REF!</v>
      </c>
      <c r="E28" t="e">
        <f>AND(#REF!,"AAAAAHvf7wQ=")</f>
        <v>#REF!</v>
      </c>
      <c r="F28" t="e">
        <f>AND(#REF!,"AAAAAHvf7wU=")</f>
        <v>#REF!</v>
      </c>
      <c r="G28" t="e">
        <f>AND(#REF!,"AAAAAHvf7wY=")</f>
        <v>#REF!</v>
      </c>
      <c r="H28" t="e">
        <f>AND(#REF!,"AAAAAHvf7wc=")</f>
        <v>#REF!</v>
      </c>
      <c r="I28" t="e">
        <f>AND(#REF!,"AAAAAHvf7wg=")</f>
        <v>#REF!</v>
      </c>
      <c r="J28" t="e">
        <f>AND(#REF!,"AAAAAHvf7wk=")</f>
        <v>#REF!</v>
      </c>
      <c r="K28" t="e">
        <f>AND(#REF!,"AAAAAHvf7wo=")</f>
        <v>#REF!</v>
      </c>
      <c r="L28" t="e">
        <f>AND(#REF!,"AAAAAHvf7ws=")</f>
        <v>#REF!</v>
      </c>
      <c r="M28" t="e">
        <f>AND(#REF!,"AAAAAHvf7ww=")</f>
        <v>#REF!</v>
      </c>
      <c r="N28" t="e">
        <f>AND(#REF!,"AAAAAHvf7w0=")</f>
        <v>#REF!</v>
      </c>
      <c r="O28" t="e">
        <f>AND(#REF!,"AAAAAHvf7w4=")</f>
        <v>#REF!</v>
      </c>
      <c r="P28" t="e">
        <f>AND(#REF!,"AAAAAHvf7w8=")</f>
        <v>#REF!</v>
      </c>
      <c r="Q28" t="e">
        <f>AND(#REF!,"AAAAAHvf7xA=")</f>
        <v>#REF!</v>
      </c>
      <c r="R28" t="e">
        <f>AND(#REF!,"AAAAAHvf7xE=")</f>
        <v>#REF!</v>
      </c>
      <c r="S28" t="e">
        <f>AND(#REF!,"AAAAAHvf7xI=")</f>
        <v>#REF!</v>
      </c>
      <c r="T28" t="e">
        <f>AND(#REF!,"AAAAAHvf7xM=")</f>
        <v>#REF!</v>
      </c>
      <c r="U28" t="e">
        <f>IF(#REF!,"AAAAAHvf7xQ=",0)</f>
        <v>#REF!</v>
      </c>
      <c r="V28" t="e">
        <f>AND(#REF!,"AAAAAHvf7xU=")</f>
        <v>#REF!</v>
      </c>
      <c r="W28" t="e">
        <f>AND(#REF!,"AAAAAHvf7xY=")</f>
        <v>#REF!</v>
      </c>
      <c r="X28" t="e">
        <f>AND(#REF!,"AAAAAHvf7xc=")</f>
        <v>#REF!</v>
      </c>
      <c r="Y28" t="e">
        <f>AND(#REF!,"AAAAAHvf7xg=")</f>
        <v>#REF!</v>
      </c>
      <c r="Z28" t="e">
        <f>AND(#REF!,"AAAAAHvf7xk=")</f>
        <v>#REF!</v>
      </c>
      <c r="AA28" t="e">
        <f>AND(#REF!,"AAAAAHvf7xo=")</f>
        <v>#REF!</v>
      </c>
      <c r="AB28" t="e">
        <f>AND(#REF!,"AAAAAHvf7xs=")</f>
        <v>#REF!</v>
      </c>
      <c r="AC28" t="e">
        <f>AND(#REF!,"AAAAAHvf7xw=")</f>
        <v>#REF!</v>
      </c>
      <c r="AD28" t="e">
        <f>AND(#REF!,"AAAAAHvf7x0=")</f>
        <v>#REF!</v>
      </c>
      <c r="AE28" t="e">
        <f>AND(#REF!,"AAAAAHvf7x4=")</f>
        <v>#REF!</v>
      </c>
      <c r="AF28" t="e">
        <f>AND(#REF!,"AAAAAHvf7x8=")</f>
        <v>#REF!</v>
      </c>
      <c r="AG28" t="e">
        <f>AND(#REF!,"AAAAAHvf7yA=")</f>
        <v>#REF!</v>
      </c>
      <c r="AH28" t="e">
        <f>AND(#REF!,"AAAAAHvf7yE=")</f>
        <v>#REF!</v>
      </c>
      <c r="AI28" t="e">
        <f>AND(#REF!,"AAAAAHvf7yI=")</f>
        <v>#REF!</v>
      </c>
      <c r="AJ28" t="e">
        <f>AND(#REF!,"AAAAAHvf7yM=")</f>
        <v>#REF!</v>
      </c>
      <c r="AK28" t="e">
        <f>AND(#REF!,"AAAAAHvf7yQ=")</f>
        <v>#REF!</v>
      </c>
      <c r="AL28" t="e">
        <f>AND(#REF!,"AAAAAHvf7yU=")</f>
        <v>#REF!</v>
      </c>
      <c r="AM28" t="e">
        <f>AND(#REF!,"AAAAAHvf7yY=")</f>
        <v>#REF!</v>
      </c>
      <c r="AN28" t="e">
        <f>AND(#REF!,"AAAAAHvf7yc=")</f>
        <v>#REF!</v>
      </c>
      <c r="AO28" t="e">
        <f>AND(#REF!,"AAAAAHvf7yg=")</f>
        <v>#REF!</v>
      </c>
      <c r="AP28" t="e">
        <f>AND(#REF!,"AAAAAHvf7yk=")</f>
        <v>#REF!</v>
      </c>
      <c r="AQ28" t="e">
        <f>AND(#REF!,"AAAAAHvf7yo=")</f>
        <v>#REF!</v>
      </c>
      <c r="AR28" t="e">
        <f>AND(#REF!,"AAAAAHvf7ys=")</f>
        <v>#REF!</v>
      </c>
      <c r="AS28" t="e">
        <f>AND(#REF!,"AAAAAHvf7yw=")</f>
        <v>#REF!</v>
      </c>
      <c r="AT28" t="e">
        <f>AND(#REF!,"AAAAAHvf7y0=")</f>
        <v>#REF!</v>
      </c>
      <c r="AU28" t="e">
        <f>AND(#REF!,"AAAAAHvf7y4=")</f>
        <v>#REF!</v>
      </c>
      <c r="AV28" t="e">
        <f>AND(#REF!,"AAAAAHvf7y8=")</f>
        <v>#REF!</v>
      </c>
      <c r="AW28" t="e">
        <f>AND(#REF!,"AAAAAHvf7zA=")</f>
        <v>#REF!</v>
      </c>
      <c r="AX28" t="e">
        <f>AND(#REF!,"AAAAAHvf7zE=")</f>
        <v>#REF!</v>
      </c>
      <c r="AY28" t="e">
        <f>AND(#REF!,"AAAAAHvf7zI=")</f>
        <v>#REF!</v>
      </c>
      <c r="AZ28" t="e">
        <f>AND(#REF!,"AAAAAHvf7zM=")</f>
        <v>#REF!</v>
      </c>
      <c r="BA28" t="e">
        <f>AND(#REF!,"AAAAAHvf7zQ=")</f>
        <v>#REF!</v>
      </c>
      <c r="BB28" t="e">
        <f>AND(#REF!,"AAAAAHvf7zU=")</f>
        <v>#REF!</v>
      </c>
      <c r="BC28" t="e">
        <f>AND(#REF!,"AAAAAHvf7zY=")</f>
        <v>#REF!</v>
      </c>
      <c r="BD28" t="e">
        <f>AND(#REF!,"AAAAAHvf7zc=")</f>
        <v>#REF!</v>
      </c>
      <c r="BE28" t="e">
        <f>AND(#REF!,"AAAAAHvf7zg=")</f>
        <v>#REF!</v>
      </c>
      <c r="BF28" t="e">
        <f>AND(#REF!,"AAAAAHvf7zk=")</f>
        <v>#REF!</v>
      </c>
      <c r="BG28" t="e">
        <f>AND(#REF!,"AAAAAHvf7zo=")</f>
        <v>#REF!</v>
      </c>
      <c r="BH28" t="e">
        <f>AND(#REF!,"AAAAAHvf7zs=")</f>
        <v>#REF!</v>
      </c>
      <c r="BI28" t="e">
        <f>AND(#REF!,"AAAAAHvf7zw=")</f>
        <v>#REF!</v>
      </c>
      <c r="BJ28" t="e">
        <f>AND(#REF!,"AAAAAHvf7z0=")</f>
        <v>#REF!</v>
      </c>
      <c r="BK28" t="e">
        <f>AND(#REF!,"AAAAAHvf7z4=")</f>
        <v>#REF!</v>
      </c>
      <c r="BL28" t="e">
        <f>AND(#REF!,"AAAAAHvf7z8=")</f>
        <v>#REF!</v>
      </c>
      <c r="BM28" t="e">
        <f>AND(#REF!,"AAAAAHvf70A=")</f>
        <v>#REF!</v>
      </c>
      <c r="BN28" t="e">
        <f>AND(#REF!,"AAAAAHvf70E=")</f>
        <v>#REF!</v>
      </c>
      <c r="BO28" t="e">
        <f>AND(#REF!,"AAAAAHvf70I=")</f>
        <v>#REF!</v>
      </c>
      <c r="BP28" t="e">
        <f>AND(#REF!,"AAAAAHvf70M=")</f>
        <v>#REF!</v>
      </c>
      <c r="BQ28" t="e">
        <f>AND(#REF!,"AAAAAHvf70Q=")</f>
        <v>#REF!</v>
      </c>
      <c r="BR28" t="e">
        <f>AND(#REF!,"AAAAAHvf70U=")</f>
        <v>#REF!</v>
      </c>
      <c r="BS28" t="e">
        <f>AND(#REF!,"AAAAAHvf70Y=")</f>
        <v>#REF!</v>
      </c>
      <c r="BT28" t="e">
        <f>AND(#REF!,"AAAAAHvf70c=")</f>
        <v>#REF!</v>
      </c>
      <c r="BU28" t="e">
        <f>AND(#REF!,"AAAAAHvf70g=")</f>
        <v>#REF!</v>
      </c>
      <c r="BV28" t="e">
        <f>AND(#REF!,"AAAAAHvf70k=")</f>
        <v>#REF!</v>
      </c>
      <c r="BW28" t="e">
        <f>AND(#REF!,"AAAAAHvf70o=")</f>
        <v>#REF!</v>
      </c>
      <c r="BX28" t="e">
        <f>AND(#REF!,"AAAAAHvf70s=")</f>
        <v>#REF!</v>
      </c>
      <c r="BY28" t="e">
        <f>AND(#REF!,"AAAAAHvf70w=")</f>
        <v>#REF!</v>
      </c>
      <c r="BZ28" t="e">
        <f>AND(#REF!,"AAAAAHvf700=")</f>
        <v>#REF!</v>
      </c>
      <c r="CA28" t="e">
        <f>AND(#REF!,"AAAAAHvf704=")</f>
        <v>#REF!</v>
      </c>
      <c r="CB28" t="e">
        <f>AND(#REF!,"AAAAAHvf708=")</f>
        <v>#REF!</v>
      </c>
      <c r="CC28" t="e">
        <f>AND(#REF!,"AAAAAHvf71A=")</f>
        <v>#REF!</v>
      </c>
      <c r="CD28" t="e">
        <f>AND(#REF!,"AAAAAHvf71E=")</f>
        <v>#REF!</v>
      </c>
      <c r="CE28" t="e">
        <f>AND(#REF!,"AAAAAHvf71I=")</f>
        <v>#REF!</v>
      </c>
      <c r="CF28" t="e">
        <f>AND(#REF!,"AAAAAHvf71M=")</f>
        <v>#REF!</v>
      </c>
      <c r="CG28" t="e">
        <f>AND(#REF!,"AAAAAHvf71Q=")</f>
        <v>#REF!</v>
      </c>
      <c r="CH28" t="e">
        <f>AND(#REF!,"AAAAAHvf71U=")</f>
        <v>#REF!</v>
      </c>
      <c r="CI28" t="e">
        <f>AND(#REF!,"AAAAAHvf71Y=")</f>
        <v>#REF!</v>
      </c>
      <c r="CJ28" t="e">
        <f>AND(#REF!,"AAAAAHvf71c=")</f>
        <v>#REF!</v>
      </c>
      <c r="CK28" t="e">
        <f>AND(#REF!,"AAAAAHvf71g=")</f>
        <v>#REF!</v>
      </c>
      <c r="CL28" t="e">
        <f>AND(#REF!,"AAAAAHvf71k=")</f>
        <v>#REF!</v>
      </c>
      <c r="CM28" t="e">
        <f>AND(#REF!,"AAAAAHvf71o=")</f>
        <v>#REF!</v>
      </c>
      <c r="CN28" t="e">
        <f>AND(#REF!,"AAAAAHvf71s=")</f>
        <v>#REF!</v>
      </c>
      <c r="CO28" t="e">
        <f>AND(#REF!,"AAAAAHvf71w=")</f>
        <v>#REF!</v>
      </c>
      <c r="CP28" t="e">
        <f>AND(#REF!,"AAAAAHvf710=")</f>
        <v>#REF!</v>
      </c>
      <c r="CQ28" t="e">
        <f>AND(#REF!,"AAAAAHvf714=")</f>
        <v>#REF!</v>
      </c>
      <c r="CR28" t="e">
        <f>AND(#REF!,"AAAAAHvf718=")</f>
        <v>#REF!</v>
      </c>
      <c r="CS28" t="e">
        <f>AND(#REF!,"AAAAAHvf72A=")</f>
        <v>#REF!</v>
      </c>
      <c r="CT28" t="e">
        <f>AND(#REF!,"AAAAAHvf72E=")</f>
        <v>#REF!</v>
      </c>
      <c r="CU28" t="e">
        <f>AND(#REF!,"AAAAAHvf72I=")</f>
        <v>#REF!</v>
      </c>
      <c r="CV28" t="e">
        <f>AND(#REF!,"AAAAAHvf72M=")</f>
        <v>#REF!</v>
      </c>
      <c r="CW28" t="e">
        <f>AND(#REF!,"AAAAAHvf72Q=")</f>
        <v>#REF!</v>
      </c>
      <c r="CX28" t="e">
        <f>AND(#REF!,"AAAAAHvf72U=")</f>
        <v>#REF!</v>
      </c>
      <c r="CY28" t="e">
        <f>AND(#REF!,"AAAAAHvf72Y=")</f>
        <v>#REF!</v>
      </c>
      <c r="CZ28" t="e">
        <f>AND(#REF!,"AAAAAHvf72c=")</f>
        <v>#REF!</v>
      </c>
      <c r="DA28" t="e">
        <f>AND(#REF!,"AAAAAHvf72g=")</f>
        <v>#REF!</v>
      </c>
      <c r="DB28" t="e">
        <f>AND(#REF!,"AAAAAHvf72k=")</f>
        <v>#REF!</v>
      </c>
      <c r="DC28" t="e">
        <f>AND(#REF!,"AAAAAHvf72o=")</f>
        <v>#REF!</v>
      </c>
      <c r="DD28" t="e">
        <f>AND(#REF!,"AAAAAHvf72s=")</f>
        <v>#REF!</v>
      </c>
      <c r="DE28" t="e">
        <f>AND(#REF!,"AAAAAHvf72w=")</f>
        <v>#REF!</v>
      </c>
      <c r="DF28" t="e">
        <f>AND(#REF!,"AAAAAHvf720=")</f>
        <v>#REF!</v>
      </c>
      <c r="DG28" t="e">
        <f>AND(#REF!,"AAAAAHvf724=")</f>
        <v>#REF!</v>
      </c>
      <c r="DH28" t="e">
        <f>AND(#REF!,"AAAAAHvf728=")</f>
        <v>#REF!</v>
      </c>
      <c r="DI28" t="e">
        <f>AND(#REF!,"AAAAAHvf73A=")</f>
        <v>#REF!</v>
      </c>
      <c r="DJ28" t="e">
        <f>AND(#REF!,"AAAAAHvf73E=")</f>
        <v>#REF!</v>
      </c>
      <c r="DK28" t="e">
        <f>AND(#REF!,"AAAAAHvf73I=")</f>
        <v>#REF!</v>
      </c>
      <c r="DL28" t="e">
        <f>AND(#REF!,"AAAAAHvf73M=")</f>
        <v>#REF!</v>
      </c>
      <c r="DM28" t="e">
        <f>AND(#REF!,"AAAAAHvf73Q=")</f>
        <v>#REF!</v>
      </c>
      <c r="DN28" t="e">
        <f>AND(#REF!,"AAAAAHvf73U=")</f>
        <v>#REF!</v>
      </c>
      <c r="DO28" t="e">
        <f>AND(#REF!,"AAAAAHvf73Y=")</f>
        <v>#REF!</v>
      </c>
      <c r="DP28" t="e">
        <f>AND(#REF!,"AAAAAHvf73c=")</f>
        <v>#REF!</v>
      </c>
      <c r="DQ28" t="e">
        <f>AND(#REF!,"AAAAAHvf73g=")</f>
        <v>#REF!</v>
      </c>
      <c r="DR28" t="e">
        <f>AND(#REF!,"AAAAAHvf73k=")</f>
        <v>#REF!</v>
      </c>
      <c r="DS28" t="e">
        <f>AND(#REF!,"AAAAAHvf73o=")</f>
        <v>#REF!</v>
      </c>
      <c r="DT28" t="e">
        <f>AND(#REF!,"AAAAAHvf73s=")</f>
        <v>#REF!</v>
      </c>
      <c r="DU28" t="e">
        <f>AND(#REF!,"AAAAAHvf73w=")</f>
        <v>#REF!</v>
      </c>
      <c r="DV28" t="e">
        <f>AND(#REF!,"AAAAAHvf730=")</f>
        <v>#REF!</v>
      </c>
      <c r="DW28" t="e">
        <f>AND(#REF!,"AAAAAHvf734=")</f>
        <v>#REF!</v>
      </c>
      <c r="DX28" t="e">
        <f>AND(#REF!,"AAAAAHvf738=")</f>
        <v>#REF!</v>
      </c>
      <c r="DY28" t="e">
        <f>AND(#REF!,"AAAAAHvf74A=")</f>
        <v>#REF!</v>
      </c>
      <c r="DZ28" t="e">
        <f>AND(#REF!,"AAAAAHvf74E=")</f>
        <v>#REF!</v>
      </c>
      <c r="EA28" t="e">
        <f>AND(#REF!,"AAAAAHvf74I=")</f>
        <v>#REF!</v>
      </c>
      <c r="EB28" t="e">
        <f>AND(#REF!,"AAAAAHvf74M=")</f>
        <v>#REF!</v>
      </c>
      <c r="EC28" t="e">
        <f>AND(#REF!,"AAAAAHvf74Q=")</f>
        <v>#REF!</v>
      </c>
      <c r="ED28" t="e">
        <f>AND(#REF!,"AAAAAHvf74U=")</f>
        <v>#REF!</v>
      </c>
      <c r="EE28" t="e">
        <f>AND(#REF!,"AAAAAHvf74Y=")</f>
        <v>#REF!</v>
      </c>
      <c r="EF28" t="e">
        <f>AND(#REF!,"AAAAAHvf74c=")</f>
        <v>#REF!</v>
      </c>
      <c r="EG28" t="e">
        <f>AND(#REF!,"AAAAAHvf74g=")</f>
        <v>#REF!</v>
      </c>
      <c r="EH28" t="e">
        <f>AND(#REF!,"AAAAAHvf74k=")</f>
        <v>#REF!</v>
      </c>
      <c r="EI28" t="e">
        <f>AND(#REF!,"AAAAAHvf74o=")</f>
        <v>#REF!</v>
      </c>
      <c r="EJ28" t="e">
        <f>AND(#REF!,"AAAAAHvf74s=")</f>
        <v>#REF!</v>
      </c>
      <c r="EK28" t="e">
        <f>AND(#REF!,"AAAAAHvf74w=")</f>
        <v>#REF!</v>
      </c>
      <c r="EL28" t="e">
        <f>AND(#REF!,"AAAAAHvf740=")</f>
        <v>#REF!</v>
      </c>
      <c r="EM28" t="e">
        <f>AND(#REF!,"AAAAAHvf744=")</f>
        <v>#REF!</v>
      </c>
      <c r="EN28" t="e">
        <f>AND(#REF!,"AAAAAHvf748=")</f>
        <v>#REF!</v>
      </c>
      <c r="EO28" t="e">
        <f>AND(#REF!,"AAAAAHvf75A=")</f>
        <v>#REF!</v>
      </c>
      <c r="EP28" t="e">
        <f>AND(#REF!,"AAAAAHvf75E=")</f>
        <v>#REF!</v>
      </c>
      <c r="EQ28" t="e">
        <f>AND(#REF!,"AAAAAHvf75I=")</f>
        <v>#REF!</v>
      </c>
      <c r="ER28" t="e">
        <f>AND(#REF!,"AAAAAHvf75M=")</f>
        <v>#REF!</v>
      </c>
      <c r="ES28" t="e">
        <f>AND(#REF!,"AAAAAHvf75Q=")</f>
        <v>#REF!</v>
      </c>
      <c r="ET28" t="e">
        <f>AND(#REF!,"AAAAAHvf75U=")</f>
        <v>#REF!</v>
      </c>
      <c r="EU28" t="e">
        <f>AND(#REF!,"AAAAAHvf75Y=")</f>
        <v>#REF!</v>
      </c>
      <c r="EV28" t="e">
        <f>AND(#REF!,"AAAAAHvf75c=")</f>
        <v>#REF!</v>
      </c>
      <c r="EW28" t="e">
        <f>AND(#REF!,"AAAAAHvf75g=")</f>
        <v>#REF!</v>
      </c>
      <c r="EX28" t="e">
        <f>AND(#REF!,"AAAAAHvf75k=")</f>
        <v>#REF!</v>
      </c>
      <c r="EY28" t="e">
        <f>AND(#REF!,"AAAAAHvf75o=")</f>
        <v>#REF!</v>
      </c>
      <c r="EZ28" t="e">
        <f>AND(#REF!,"AAAAAHvf75s=")</f>
        <v>#REF!</v>
      </c>
      <c r="FA28" t="e">
        <f>AND(#REF!,"AAAAAHvf75w=")</f>
        <v>#REF!</v>
      </c>
      <c r="FB28" t="e">
        <f>AND(#REF!,"AAAAAHvf750=")</f>
        <v>#REF!</v>
      </c>
      <c r="FC28" t="e">
        <f>AND(#REF!,"AAAAAHvf754=")</f>
        <v>#REF!</v>
      </c>
      <c r="FD28" t="e">
        <f>AND(#REF!,"AAAAAHvf758=")</f>
        <v>#REF!</v>
      </c>
      <c r="FE28" t="e">
        <f>AND(#REF!,"AAAAAHvf76A=")</f>
        <v>#REF!</v>
      </c>
      <c r="FF28" t="e">
        <f>AND(#REF!,"AAAAAHvf76E=")</f>
        <v>#REF!</v>
      </c>
      <c r="FG28" t="e">
        <f>AND(#REF!,"AAAAAHvf76I=")</f>
        <v>#REF!</v>
      </c>
      <c r="FH28" t="e">
        <f>AND(#REF!,"AAAAAHvf76M=")</f>
        <v>#REF!</v>
      </c>
      <c r="FI28" t="e">
        <f>AND(#REF!,"AAAAAHvf76Q=")</f>
        <v>#REF!</v>
      </c>
      <c r="FJ28" t="e">
        <f>AND(#REF!,"AAAAAHvf76U=")</f>
        <v>#REF!</v>
      </c>
      <c r="FK28" t="e">
        <f>AND(#REF!,"AAAAAHvf76Y=")</f>
        <v>#REF!</v>
      </c>
      <c r="FL28" t="e">
        <f>AND(#REF!,"AAAAAHvf76c=")</f>
        <v>#REF!</v>
      </c>
      <c r="FM28" t="e">
        <f>AND(#REF!,"AAAAAHvf76g=")</f>
        <v>#REF!</v>
      </c>
      <c r="FN28" t="e">
        <f>AND(#REF!,"AAAAAHvf76k=")</f>
        <v>#REF!</v>
      </c>
      <c r="FO28" t="e">
        <f>AND(#REF!,"AAAAAHvf76o=")</f>
        <v>#REF!</v>
      </c>
      <c r="FP28" t="e">
        <f>AND(#REF!,"AAAAAHvf76s=")</f>
        <v>#REF!</v>
      </c>
      <c r="FQ28" t="e">
        <f>AND(#REF!,"AAAAAHvf76w=")</f>
        <v>#REF!</v>
      </c>
      <c r="FR28" t="e">
        <f>AND(#REF!,"AAAAAHvf760=")</f>
        <v>#REF!</v>
      </c>
      <c r="FS28" t="e">
        <f>AND(#REF!,"AAAAAHvf764=")</f>
        <v>#REF!</v>
      </c>
      <c r="FT28" t="e">
        <f>AND(#REF!,"AAAAAHvf768=")</f>
        <v>#REF!</v>
      </c>
      <c r="FU28" t="e">
        <f>AND(#REF!,"AAAAAHvf77A=")</f>
        <v>#REF!</v>
      </c>
      <c r="FV28" t="e">
        <f>AND(#REF!,"AAAAAHvf77E=")</f>
        <v>#REF!</v>
      </c>
      <c r="FW28" t="e">
        <f>AND(#REF!,"AAAAAHvf77I=")</f>
        <v>#REF!</v>
      </c>
      <c r="FX28" t="e">
        <f>AND(#REF!,"AAAAAHvf77M=")</f>
        <v>#REF!</v>
      </c>
      <c r="FY28" t="e">
        <f>AND(#REF!,"AAAAAHvf77Q=")</f>
        <v>#REF!</v>
      </c>
      <c r="FZ28" t="e">
        <f>AND(#REF!,"AAAAAHvf77U=")</f>
        <v>#REF!</v>
      </c>
      <c r="GA28" t="e">
        <f>AND(#REF!,"AAAAAHvf77Y=")</f>
        <v>#REF!</v>
      </c>
      <c r="GB28" t="e">
        <f>AND(#REF!,"AAAAAHvf77c=")</f>
        <v>#REF!</v>
      </c>
      <c r="GC28" t="e">
        <f>AND(#REF!,"AAAAAHvf77g=")</f>
        <v>#REF!</v>
      </c>
      <c r="GD28" t="e">
        <f>AND(#REF!,"AAAAAHvf77k=")</f>
        <v>#REF!</v>
      </c>
      <c r="GE28" t="e">
        <f>AND(#REF!,"AAAAAHvf77o=")</f>
        <v>#REF!</v>
      </c>
      <c r="GF28" t="e">
        <f>AND(#REF!,"AAAAAHvf77s=")</f>
        <v>#REF!</v>
      </c>
      <c r="GG28" t="e">
        <f>AND(#REF!,"AAAAAHvf77w=")</f>
        <v>#REF!</v>
      </c>
      <c r="GH28" t="e">
        <f>AND(#REF!,"AAAAAHvf770=")</f>
        <v>#REF!</v>
      </c>
      <c r="GI28" t="e">
        <f>AND(#REF!,"AAAAAHvf774=")</f>
        <v>#REF!</v>
      </c>
      <c r="GJ28" t="e">
        <f>AND(#REF!,"AAAAAHvf778=")</f>
        <v>#REF!</v>
      </c>
      <c r="GK28" t="e">
        <f>AND(#REF!,"AAAAAHvf78A=")</f>
        <v>#REF!</v>
      </c>
      <c r="GL28" t="e">
        <f>AND(#REF!,"AAAAAHvf78E=")</f>
        <v>#REF!</v>
      </c>
      <c r="GM28" t="e">
        <f>AND(#REF!,"AAAAAHvf78I=")</f>
        <v>#REF!</v>
      </c>
      <c r="GN28" t="e">
        <f>AND(#REF!,"AAAAAHvf78M=")</f>
        <v>#REF!</v>
      </c>
      <c r="GO28" t="e">
        <f>AND(#REF!,"AAAAAHvf78Q=")</f>
        <v>#REF!</v>
      </c>
      <c r="GP28" t="e">
        <f>AND(#REF!,"AAAAAHvf78U=")</f>
        <v>#REF!</v>
      </c>
      <c r="GQ28" t="e">
        <f>AND(#REF!,"AAAAAHvf78Y=")</f>
        <v>#REF!</v>
      </c>
      <c r="GR28" t="e">
        <f>AND(#REF!,"AAAAAHvf78c=")</f>
        <v>#REF!</v>
      </c>
      <c r="GS28" t="e">
        <f>AND(#REF!,"AAAAAHvf78g=")</f>
        <v>#REF!</v>
      </c>
      <c r="GT28" t="e">
        <f>AND(#REF!,"AAAAAHvf78k=")</f>
        <v>#REF!</v>
      </c>
      <c r="GU28" t="e">
        <f>AND(#REF!,"AAAAAHvf78o=")</f>
        <v>#REF!</v>
      </c>
      <c r="GV28" t="e">
        <f>AND(#REF!,"AAAAAHvf78s=")</f>
        <v>#REF!</v>
      </c>
      <c r="GW28" t="e">
        <f>AND(#REF!,"AAAAAHvf78w=")</f>
        <v>#REF!</v>
      </c>
      <c r="GX28" t="e">
        <f>AND(#REF!,"AAAAAHvf780=")</f>
        <v>#REF!</v>
      </c>
      <c r="GY28" t="e">
        <f>AND(#REF!,"AAAAAHvf784=")</f>
        <v>#REF!</v>
      </c>
      <c r="GZ28" t="e">
        <f>AND(#REF!,"AAAAAHvf788=")</f>
        <v>#REF!</v>
      </c>
      <c r="HA28" t="e">
        <f>AND(#REF!,"AAAAAHvf79A=")</f>
        <v>#REF!</v>
      </c>
      <c r="HB28" t="e">
        <f>AND(#REF!,"AAAAAHvf79E=")</f>
        <v>#REF!</v>
      </c>
      <c r="HC28" t="e">
        <f>AND(#REF!,"AAAAAHvf79I=")</f>
        <v>#REF!</v>
      </c>
      <c r="HD28" t="e">
        <f>AND(#REF!,"AAAAAHvf79M=")</f>
        <v>#REF!</v>
      </c>
      <c r="HE28" t="e">
        <f>AND(#REF!,"AAAAAHvf79Q=")</f>
        <v>#REF!</v>
      </c>
      <c r="HF28" t="e">
        <f>AND(#REF!,"AAAAAHvf79U=")</f>
        <v>#REF!</v>
      </c>
      <c r="HG28" t="e">
        <f>AND(#REF!,"AAAAAHvf79Y=")</f>
        <v>#REF!</v>
      </c>
      <c r="HH28" t="e">
        <f>AND(#REF!,"AAAAAHvf79c=")</f>
        <v>#REF!</v>
      </c>
      <c r="HI28" t="e">
        <f>AND(#REF!,"AAAAAHvf79g=")</f>
        <v>#REF!</v>
      </c>
      <c r="HJ28" t="e">
        <f>AND(#REF!,"AAAAAHvf79k=")</f>
        <v>#REF!</v>
      </c>
      <c r="HK28" t="e">
        <f>AND(#REF!,"AAAAAHvf79o=")</f>
        <v>#REF!</v>
      </c>
      <c r="HL28" t="e">
        <f>AND(#REF!,"AAAAAHvf79s=")</f>
        <v>#REF!</v>
      </c>
      <c r="HM28" t="e">
        <f>AND(#REF!,"AAAAAHvf79w=")</f>
        <v>#REF!</v>
      </c>
      <c r="HN28" t="e">
        <f>AND(#REF!,"AAAAAHvf790=")</f>
        <v>#REF!</v>
      </c>
      <c r="HO28" t="e">
        <f>AND(#REF!,"AAAAAHvf794=")</f>
        <v>#REF!</v>
      </c>
      <c r="HP28" t="e">
        <f>AND(#REF!,"AAAAAHvf798=")</f>
        <v>#REF!</v>
      </c>
      <c r="HQ28" t="e">
        <f>AND(#REF!,"AAAAAHvf7+A=")</f>
        <v>#REF!</v>
      </c>
      <c r="HR28" t="e">
        <f>AND(#REF!,"AAAAAHvf7+E=")</f>
        <v>#REF!</v>
      </c>
      <c r="HS28" t="e">
        <f>AND(#REF!,"AAAAAHvf7+I=")</f>
        <v>#REF!</v>
      </c>
      <c r="HT28" t="e">
        <f>AND(#REF!,"AAAAAHvf7+M=")</f>
        <v>#REF!</v>
      </c>
      <c r="HU28" t="e">
        <f>AND(#REF!,"AAAAAHvf7+Q=")</f>
        <v>#REF!</v>
      </c>
      <c r="HV28" t="e">
        <f>AND(#REF!,"AAAAAHvf7+U=")</f>
        <v>#REF!</v>
      </c>
      <c r="HW28" t="e">
        <f>AND(#REF!,"AAAAAHvf7+Y=")</f>
        <v>#REF!</v>
      </c>
      <c r="HX28" t="e">
        <f>AND(#REF!,"AAAAAHvf7+c=")</f>
        <v>#REF!</v>
      </c>
      <c r="HY28" t="e">
        <f>AND(#REF!,"AAAAAHvf7+g=")</f>
        <v>#REF!</v>
      </c>
      <c r="HZ28" t="e">
        <f>AND(#REF!,"AAAAAHvf7+k=")</f>
        <v>#REF!</v>
      </c>
      <c r="IA28" t="e">
        <f>AND(#REF!,"AAAAAHvf7+o=")</f>
        <v>#REF!</v>
      </c>
      <c r="IB28" t="e">
        <f>AND(#REF!,"AAAAAHvf7+s=")</f>
        <v>#REF!</v>
      </c>
      <c r="IC28" t="e">
        <f>AND(#REF!,"AAAAAHvf7+w=")</f>
        <v>#REF!</v>
      </c>
      <c r="ID28" t="e">
        <f>AND(#REF!,"AAAAAHvf7+0=")</f>
        <v>#REF!</v>
      </c>
      <c r="IE28" t="e">
        <f>AND(#REF!,"AAAAAHvf7+4=")</f>
        <v>#REF!</v>
      </c>
      <c r="IF28" t="e">
        <f>AND(#REF!,"AAAAAHvf7+8=")</f>
        <v>#REF!</v>
      </c>
      <c r="IG28" t="e">
        <f>AND(#REF!,"AAAAAHvf7/A=")</f>
        <v>#REF!</v>
      </c>
      <c r="IH28" t="e">
        <f>AND(#REF!,"AAAAAHvf7/E=")</f>
        <v>#REF!</v>
      </c>
      <c r="II28" t="e">
        <f>AND(#REF!,"AAAAAHvf7/I=")</f>
        <v>#REF!</v>
      </c>
      <c r="IJ28" t="e">
        <f>AND(#REF!,"AAAAAHvf7/M=")</f>
        <v>#REF!</v>
      </c>
      <c r="IK28" t="e">
        <f>AND(#REF!,"AAAAAHvf7/Q=")</f>
        <v>#REF!</v>
      </c>
      <c r="IL28" t="e">
        <f>AND(#REF!,"AAAAAHvf7/U=")</f>
        <v>#REF!</v>
      </c>
      <c r="IM28" t="e">
        <f>AND(#REF!,"AAAAAHvf7/Y=")</f>
        <v>#REF!</v>
      </c>
      <c r="IN28" t="e">
        <f>AND(#REF!,"AAAAAHvf7/c=")</f>
        <v>#REF!</v>
      </c>
      <c r="IO28" t="e">
        <f>AND(#REF!,"AAAAAHvf7/g=")</f>
        <v>#REF!</v>
      </c>
      <c r="IP28" t="e">
        <f>AND(#REF!,"AAAAAHvf7/k=")</f>
        <v>#REF!</v>
      </c>
      <c r="IQ28" t="e">
        <f>AND(#REF!,"AAAAAHvf7/o=")</f>
        <v>#REF!</v>
      </c>
      <c r="IR28" t="e">
        <f>AND(#REF!,"AAAAAHvf7/s=")</f>
        <v>#REF!</v>
      </c>
      <c r="IS28" t="e">
        <f>AND(#REF!,"AAAAAHvf7/w=")</f>
        <v>#REF!</v>
      </c>
      <c r="IT28" t="e">
        <f>AND(#REF!,"AAAAAHvf7/0=")</f>
        <v>#REF!</v>
      </c>
      <c r="IU28" t="e">
        <f>AND(#REF!,"AAAAAHvf7/4=")</f>
        <v>#REF!</v>
      </c>
      <c r="IV28" t="e">
        <f>AND(#REF!,"AAAAAHvf7/8=")</f>
        <v>#REF!</v>
      </c>
    </row>
    <row r="29" spans="1:256" x14ac:dyDescent="0.25">
      <c r="A29" t="e">
        <f>AND(#REF!,"AAAAAHtPeQA=")</f>
        <v>#REF!</v>
      </c>
      <c r="B29" t="e">
        <f>AND(#REF!,"AAAAAHtPeQE=")</f>
        <v>#REF!</v>
      </c>
      <c r="C29" t="e">
        <f>AND(#REF!,"AAAAAHtPeQI=")</f>
        <v>#REF!</v>
      </c>
      <c r="D29" t="e">
        <f>AND(#REF!,"AAAAAHtPeQM=")</f>
        <v>#REF!</v>
      </c>
      <c r="E29" t="e">
        <f>AND(#REF!,"AAAAAHtPeQQ=")</f>
        <v>#REF!</v>
      </c>
      <c r="F29" t="e">
        <f>AND(#REF!,"AAAAAHtPeQU=")</f>
        <v>#REF!</v>
      </c>
      <c r="G29" t="e">
        <f>AND(#REF!,"AAAAAHtPeQY=")</f>
        <v>#REF!</v>
      </c>
      <c r="H29" t="e">
        <f>AND(#REF!,"AAAAAHtPeQc=")</f>
        <v>#REF!</v>
      </c>
      <c r="I29" t="e">
        <f>AND(#REF!,"AAAAAHtPeQg=")</f>
        <v>#REF!</v>
      </c>
      <c r="J29" t="e">
        <f>AND(#REF!,"AAAAAHtPeQk=")</f>
        <v>#REF!</v>
      </c>
      <c r="K29" t="e">
        <f>AND(#REF!,"AAAAAHtPeQo=")</f>
        <v>#REF!</v>
      </c>
      <c r="L29" t="e">
        <f>AND(#REF!,"AAAAAHtPeQs=")</f>
        <v>#REF!</v>
      </c>
      <c r="M29" t="e">
        <f>AND(#REF!,"AAAAAHtPeQw=")</f>
        <v>#REF!</v>
      </c>
      <c r="N29" t="e">
        <f>AND(#REF!,"AAAAAHtPeQ0=")</f>
        <v>#REF!</v>
      </c>
      <c r="O29" t="e">
        <f>AND(#REF!,"AAAAAHtPeQ4=")</f>
        <v>#REF!</v>
      </c>
      <c r="P29" t="e">
        <f>AND(#REF!,"AAAAAHtPeQ8=")</f>
        <v>#REF!</v>
      </c>
      <c r="Q29" t="e">
        <f>AND(#REF!,"AAAAAHtPeRA=")</f>
        <v>#REF!</v>
      </c>
      <c r="R29" t="e">
        <f>AND(#REF!,"AAAAAHtPeRE=")</f>
        <v>#REF!</v>
      </c>
      <c r="S29" t="e">
        <f>AND(#REF!,"AAAAAHtPeRI=")</f>
        <v>#REF!</v>
      </c>
      <c r="T29" t="e">
        <f>AND(#REF!,"AAAAAHtPeRM=")</f>
        <v>#REF!</v>
      </c>
      <c r="U29" t="e">
        <f>AND(#REF!,"AAAAAHtPeRQ=")</f>
        <v>#REF!</v>
      </c>
      <c r="V29" t="e">
        <f>IF(#REF!,"AAAAAHtPeRU=",0)</f>
        <v>#REF!</v>
      </c>
      <c r="W29" t="e">
        <f>IF(#REF!,"AAAAAHtPeRY=",0)</f>
        <v>#REF!</v>
      </c>
      <c r="X29" t="e">
        <f>IF(#REF!,"AAAAAHtPeRc=",0)</f>
        <v>#REF!</v>
      </c>
      <c r="Y29" t="e">
        <f>IF(#REF!,"AAAAAHtPeRg=",0)</f>
        <v>#REF!</v>
      </c>
      <c r="Z29" t="e">
        <f>IF(#REF!,"AAAAAHtPeRk=",0)</f>
        <v>#REF!</v>
      </c>
      <c r="AA29" t="e">
        <f>IF(#REF!,"AAAAAHtPeRo=",0)</f>
        <v>#REF!</v>
      </c>
      <c r="AB29" t="e">
        <f>IF(#REF!,"AAAAAHtPeRs=",0)</f>
        <v>#REF!</v>
      </c>
      <c r="AC29" t="e">
        <f>IF(#REF!,"AAAAAHtPeRw=",0)</f>
        <v>#REF!</v>
      </c>
      <c r="AD29" t="e">
        <f>IF(#REF!,"AAAAAHtPeR0=",0)</f>
        <v>#REF!</v>
      </c>
      <c r="AE29" t="e">
        <f>IF(#REF!,"AAAAAHtPeR4=",0)</f>
        <v>#REF!</v>
      </c>
      <c r="AF29" t="e">
        <f>IF(#REF!,"AAAAAHtPeR8=",0)</f>
        <v>#REF!</v>
      </c>
      <c r="AG29" t="e">
        <f>IF(#REF!,"AAAAAHtPeSA=",0)</f>
        <v>#REF!</v>
      </c>
      <c r="AH29" t="e">
        <f>IF(#REF!,"AAAAAHtPeSE=",0)</f>
        <v>#REF!</v>
      </c>
      <c r="AI29" t="e">
        <f>IF(#REF!,"AAAAAHtPeSI=",0)</f>
        <v>#REF!</v>
      </c>
      <c r="AJ29" t="e">
        <f>IF(#REF!,"AAAAAHtPeSM=",0)</f>
        <v>#REF!</v>
      </c>
      <c r="AK29" t="e">
        <f>IF(#REF!,"AAAAAHtPeSQ=",0)</f>
        <v>#REF!</v>
      </c>
      <c r="AL29" t="e">
        <f>IF(#REF!,"AAAAAHtPeSU=",0)</f>
        <v>#REF!</v>
      </c>
      <c r="AM29" t="e">
        <f>IF(#REF!,"AAAAAHtPeSY=",0)</f>
        <v>#REF!</v>
      </c>
      <c r="AN29" t="e">
        <f>IF(#REF!,"AAAAAHtPeSc=",0)</f>
        <v>#REF!</v>
      </c>
      <c r="AO29" t="e">
        <f>IF(#REF!,"AAAAAHtPeSg=",0)</f>
        <v>#REF!</v>
      </c>
      <c r="AP29" t="e">
        <f>IF(#REF!,"AAAAAHtPeSk=",0)</f>
        <v>#REF!</v>
      </c>
      <c r="AQ29" t="e">
        <f>IF(#REF!,"AAAAAHtPeSo=",0)</f>
        <v>#REF!</v>
      </c>
      <c r="AR29" t="e">
        <f>IF(#REF!,"AAAAAHtPeSs=",0)</f>
        <v>#REF!</v>
      </c>
      <c r="AS29" t="e">
        <f>IF(#REF!,"AAAAAHtPeSw=",0)</f>
        <v>#REF!</v>
      </c>
      <c r="AT29" t="e">
        <f>IF(#REF!,"AAAAAHtPeS0=",0)</f>
        <v>#REF!</v>
      </c>
      <c r="AU29" t="e">
        <f>IF(#REF!,"AAAAAHtPeS4=",0)</f>
        <v>#REF!</v>
      </c>
      <c r="AV29" t="e">
        <f>IF(#REF!,"AAAAAHtPeS8=",0)</f>
        <v>#REF!</v>
      </c>
      <c r="AW29" t="e">
        <f>IF(#REF!,"AAAAAHtPeTA=",0)</f>
        <v>#REF!</v>
      </c>
      <c r="AX29" t="e">
        <f>IF(#REF!,"AAAAAHtPeTE=",0)</f>
        <v>#REF!</v>
      </c>
      <c r="AY29" t="e">
        <f>IF(#REF!,"AAAAAHtPeTI=",0)</f>
        <v>#REF!</v>
      </c>
      <c r="AZ29" t="e">
        <f>IF(#REF!,"AAAAAHtPeTM=",0)</f>
        <v>#REF!</v>
      </c>
      <c r="BA29" t="e">
        <f>IF(#REF!,"AAAAAHtPeTQ=",0)</f>
        <v>#REF!</v>
      </c>
      <c r="BB29" t="e">
        <f>IF(#REF!,"AAAAAHtPeTU=",0)</f>
        <v>#REF!</v>
      </c>
      <c r="BC29" t="e">
        <f>IF(#REF!,"AAAAAHtPeTY=",0)</f>
        <v>#REF!</v>
      </c>
      <c r="BD29" t="e">
        <f>IF(#REF!,"AAAAAHtPeTc=",0)</f>
        <v>#REF!</v>
      </c>
      <c r="BE29" t="e">
        <f>IF(#REF!,"AAAAAHtPeTg=",0)</f>
        <v>#REF!</v>
      </c>
      <c r="BF29" t="e">
        <f>IF(#REF!,"AAAAAHtPeTk=",0)</f>
        <v>#REF!</v>
      </c>
      <c r="BG29" t="e">
        <f>IF(#REF!,"AAAAAHtPeTo=",0)</f>
        <v>#REF!</v>
      </c>
      <c r="BH29" t="e">
        <f>IF(#REF!,"AAAAAHtPeTs=",0)</f>
        <v>#REF!</v>
      </c>
      <c r="BI29" t="e">
        <f>IF(#REF!,"AAAAAHtPeTw=",0)</f>
        <v>#REF!</v>
      </c>
      <c r="BJ29" t="e">
        <f>IF(#REF!,"AAAAAHtPeT0=",0)</f>
        <v>#REF!</v>
      </c>
      <c r="BK29" t="e">
        <f>IF(#REF!,"AAAAAHtPeT4=",0)</f>
        <v>#REF!</v>
      </c>
      <c r="BL29" t="e">
        <f>IF(#REF!,"AAAAAHtPeT8=",0)</f>
        <v>#REF!</v>
      </c>
      <c r="BM29" t="e">
        <f>IF(#REF!,"AAAAAHtPeUA=",0)</f>
        <v>#REF!</v>
      </c>
      <c r="BN29" t="e">
        <f>IF(#REF!,"AAAAAHtPeUE=",0)</f>
        <v>#REF!</v>
      </c>
      <c r="BO29" t="e">
        <f>IF(#REF!,"AAAAAHtPeUI=",0)</f>
        <v>#REF!</v>
      </c>
      <c r="BP29" t="e">
        <f>IF(#REF!,"AAAAAHtPeUM=",0)</f>
        <v>#REF!</v>
      </c>
      <c r="BQ29" t="e">
        <f>IF(#REF!,"AAAAAHtPeUQ=",0)</f>
        <v>#REF!</v>
      </c>
      <c r="BR29" t="e">
        <f>IF(#REF!,"AAAAAHtPeUU=",0)</f>
        <v>#REF!</v>
      </c>
      <c r="BS29" t="e">
        <f>IF(#REF!,"AAAAAHtPeUY=",0)</f>
        <v>#REF!</v>
      </c>
      <c r="BT29" t="e">
        <f>IF(#REF!,"AAAAAHtPeUc=",0)</f>
        <v>#REF!</v>
      </c>
      <c r="BU29" t="e">
        <f>IF(#REF!,"AAAAAHtPeUg=",0)</f>
        <v>#REF!</v>
      </c>
      <c r="BV29" t="e">
        <f>IF(#REF!,"AAAAAHtPeUk=",0)</f>
        <v>#REF!</v>
      </c>
      <c r="BW29" t="e">
        <f>IF(#REF!,"AAAAAHtPeUo=",0)</f>
        <v>#REF!</v>
      </c>
      <c r="BX29" t="e">
        <f>IF(#REF!,"AAAAAHtPeUs=",0)</f>
        <v>#REF!</v>
      </c>
      <c r="BY29" t="e">
        <f>IF(#REF!,"AAAAAHtPeUw=",0)</f>
        <v>#REF!</v>
      </c>
      <c r="BZ29" t="e">
        <f>IF(#REF!,"AAAAAHtPeU0=",0)</f>
        <v>#REF!</v>
      </c>
      <c r="CA29" t="e">
        <f>IF(#REF!,"AAAAAHtPeU4=",0)</f>
        <v>#REF!</v>
      </c>
      <c r="CB29" t="e">
        <f>IF(#REF!,"AAAAAHtPeU8=",0)</f>
        <v>#REF!</v>
      </c>
      <c r="CC29" t="e">
        <f>IF(#REF!,"AAAAAHtPeVA=",0)</f>
        <v>#REF!</v>
      </c>
      <c r="CD29" t="e">
        <f>IF(#REF!,"AAAAAHtPeVE=",0)</f>
        <v>#REF!</v>
      </c>
      <c r="CE29" t="e">
        <f>IF(#REF!,"AAAAAHtPeVI=",0)</f>
        <v>#REF!</v>
      </c>
      <c r="CF29" t="e">
        <f>IF(#REF!,"AAAAAHtPeVM=",0)</f>
        <v>#REF!</v>
      </c>
      <c r="CG29" t="e">
        <f>IF(#REF!,"AAAAAHtPeVQ=",0)</f>
        <v>#REF!</v>
      </c>
      <c r="CH29" t="e">
        <f>IF(#REF!,"AAAAAHtPeVU=",0)</f>
        <v>#REF!</v>
      </c>
      <c r="CI29" t="e">
        <f>IF(#REF!,"AAAAAHtPeVY=",0)</f>
        <v>#REF!</v>
      </c>
      <c r="CJ29" t="e">
        <f>IF(#REF!,"AAAAAHtPeVc=",0)</f>
        <v>#REF!</v>
      </c>
      <c r="CK29" t="e">
        <f>IF(#REF!,"AAAAAHtPeVg=",0)</f>
        <v>#REF!</v>
      </c>
      <c r="CL29" t="e">
        <f>IF(#REF!,"AAAAAHtPeVk=",0)</f>
        <v>#REF!</v>
      </c>
      <c r="CM29" t="e">
        <f>IF(#REF!,"AAAAAHtPeVo=",0)</f>
        <v>#REF!</v>
      </c>
      <c r="CN29" t="e">
        <f>IF(#REF!,"AAAAAHtPeVs=",0)</f>
        <v>#REF!</v>
      </c>
      <c r="CO29" t="e">
        <f>IF(#REF!,"AAAAAHtPeVw=",0)</f>
        <v>#REF!</v>
      </c>
      <c r="CP29" t="e">
        <f>IF(#REF!,"AAAAAHtPeV0=",0)</f>
        <v>#REF!</v>
      </c>
      <c r="CQ29" t="e">
        <f>IF(#REF!,"AAAAAHtPeV4=",0)</f>
        <v>#REF!</v>
      </c>
      <c r="CR29" t="e">
        <f>IF(#REF!,"AAAAAHtPeV8=",0)</f>
        <v>#REF!</v>
      </c>
      <c r="CS29" t="e">
        <f>IF(#REF!,"AAAAAHtPeWA=",0)</f>
        <v>#REF!</v>
      </c>
      <c r="CT29" t="e">
        <f>IF(#REF!,"AAAAAHtPeWE=",0)</f>
        <v>#REF!</v>
      </c>
      <c r="CU29" t="e">
        <f>IF(#REF!,"AAAAAHtPeWI=",0)</f>
        <v>#REF!</v>
      </c>
      <c r="CV29" t="e">
        <f>IF(#REF!,"AAAAAHtPeWM=",0)</f>
        <v>#REF!</v>
      </c>
      <c r="CW29" t="e">
        <f>IF(#REF!,"AAAAAHtPeWQ=",0)</f>
        <v>#REF!</v>
      </c>
      <c r="CX29" t="e">
        <f>IF(#REF!,"AAAAAHtPeWU=",0)</f>
        <v>#REF!</v>
      </c>
      <c r="CY29" t="e">
        <f>IF(#REF!,"AAAAAHtPeWY=",0)</f>
        <v>#REF!</v>
      </c>
      <c r="CZ29" t="e">
        <f>IF(#REF!,"AAAAAHtPeWc=",0)</f>
        <v>#REF!</v>
      </c>
      <c r="DA29" t="e">
        <f>IF(#REF!,"AAAAAHtPeWg=",0)</f>
        <v>#REF!</v>
      </c>
      <c r="DB29" t="e">
        <f>IF(#REF!,"AAAAAHtPeWk=",0)</f>
        <v>#REF!</v>
      </c>
      <c r="DC29" t="e">
        <f>IF(#REF!,"AAAAAHtPeWo=",0)</f>
        <v>#REF!</v>
      </c>
      <c r="DD29" t="e">
        <f>IF(#REF!,"AAAAAHtPeWs=",0)</f>
        <v>#REF!</v>
      </c>
      <c r="DE29" t="e">
        <f>IF(#REF!,"AAAAAHtPeWw=",0)</f>
        <v>#REF!</v>
      </c>
      <c r="DF29" t="e">
        <f>IF(#REF!,"AAAAAHtPeW0=",0)</f>
        <v>#REF!</v>
      </c>
      <c r="DG29" t="e">
        <f>IF(#REF!,"AAAAAHtPeW4=",0)</f>
        <v>#REF!</v>
      </c>
      <c r="DH29" t="e">
        <f>IF(#REF!,"AAAAAHtPeW8=",0)</f>
        <v>#REF!</v>
      </c>
      <c r="DI29" t="e">
        <f>IF(#REF!,"AAAAAHtPeXA=",0)</f>
        <v>#REF!</v>
      </c>
      <c r="DJ29" t="e">
        <f>IF(#REF!,"AAAAAHtPeXE=",0)</f>
        <v>#REF!</v>
      </c>
      <c r="DK29" t="e">
        <f>IF(#REF!,"AAAAAHtPeXI=",0)</f>
        <v>#REF!</v>
      </c>
      <c r="DL29" t="e">
        <f>IF(#REF!,"AAAAAHtPeXM=",0)</f>
        <v>#REF!</v>
      </c>
      <c r="DM29" t="e">
        <f>IF(#REF!,"AAAAAHtPeXQ=",0)</f>
        <v>#REF!</v>
      </c>
      <c r="DN29" t="e">
        <f>IF(#REF!,"AAAAAHtPeXU=",0)</f>
        <v>#REF!</v>
      </c>
      <c r="DO29" t="e">
        <f>IF(#REF!,"AAAAAHtPeXY=",0)</f>
        <v>#REF!</v>
      </c>
      <c r="DP29" t="e">
        <f>IF(#REF!,"AAAAAHtPeXc=",0)</f>
        <v>#REF!</v>
      </c>
      <c r="DQ29" t="e">
        <f>IF(#REF!,"AAAAAHtPeXg=",0)</f>
        <v>#REF!</v>
      </c>
      <c r="DR29" t="e">
        <f>IF(#REF!,"AAAAAHtPeXk=",0)</f>
        <v>#REF!</v>
      </c>
      <c r="DS29" t="e">
        <f>IF(#REF!,"AAAAAHtPeXo=",0)</f>
        <v>#REF!</v>
      </c>
      <c r="DT29" t="e">
        <f>IF(#REF!,"AAAAAHtPeXs=",0)</f>
        <v>#REF!</v>
      </c>
      <c r="DU29" t="e">
        <f>IF(#REF!,"AAAAAHtPeXw=",0)</f>
        <v>#REF!</v>
      </c>
      <c r="DV29" t="e">
        <f>IF(#REF!,"AAAAAHtPeX0=",0)</f>
        <v>#REF!</v>
      </c>
      <c r="DW29" t="e">
        <f>IF(#REF!,"AAAAAHtPeX4=",0)</f>
        <v>#REF!</v>
      </c>
      <c r="DX29" t="e">
        <f>IF(#REF!,"AAAAAHtPeX8=",0)</f>
        <v>#REF!</v>
      </c>
      <c r="DY29" t="e">
        <f>IF(#REF!,"AAAAAHtPeYA=",0)</f>
        <v>#REF!</v>
      </c>
      <c r="DZ29" t="e">
        <f>IF(#REF!,"AAAAAHtPeYE=",0)</f>
        <v>#REF!</v>
      </c>
      <c r="EA29" t="e">
        <f>IF(#REF!,"AAAAAHtPeYI=",0)</f>
        <v>#REF!</v>
      </c>
      <c r="EB29" t="e">
        <f>IF(#REF!,"AAAAAHtPeYM=",0)</f>
        <v>#REF!</v>
      </c>
      <c r="EC29" t="e">
        <f>IF(#REF!,"AAAAAHtPeYQ=",0)</f>
        <v>#REF!</v>
      </c>
      <c r="ED29" t="e">
        <f>IF(#REF!,"AAAAAHtPeYU=",0)</f>
        <v>#REF!</v>
      </c>
      <c r="EE29" t="e">
        <f>IF(#REF!,"AAAAAHtPeYY=",0)</f>
        <v>#REF!</v>
      </c>
      <c r="EF29" t="e">
        <f>IF(#REF!,"AAAAAHtPeYc=",0)</f>
        <v>#REF!</v>
      </c>
      <c r="EG29" t="e">
        <f>IF(#REF!,"AAAAAHtPeYg=",0)</f>
        <v>#REF!</v>
      </c>
      <c r="EH29" t="e">
        <f>IF(#REF!,"AAAAAHtPeYk=",0)</f>
        <v>#REF!</v>
      </c>
      <c r="EI29" t="e">
        <f>IF(#REF!,"AAAAAHtPeYo=",0)</f>
        <v>#REF!</v>
      </c>
      <c r="EJ29" t="e">
        <f>IF(#REF!,"AAAAAHtPeYs=",0)</f>
        <v>#REF!</v>
      </c>
      <c r="EK29" t="e">
        <f>IF(#REF!,"AAAAAHtPeYw=",0)</f>
        <v>#REF!</v>
      </c>
      <c r="EL29" t="e">
        <f>IF(#REF!,"AAAAAHtPeY0=",0)</f>
        <v>#REF!</v>
      </c>
      <c r="EM29" t="e">
        <f>IF(#REF!,"AAAAAHtPeY4=",0)</f>
        <v>#REF!</v>
      </c>
      <c r="EN29" t="e">
        <f>IF(#REF!,"AAAAAHtPeY8=",0)</f>
        <v>#REF!</v>
      </c>
      <c r="EO29" t="e">
        <f>IF(#REF!,"AAAAAHtPeZA=",0)</f>
        <v>#REF!</v>
      </c>
      <c r="EP29" t="e">
        <f>IF(#REF!,"AAAAAHtPeZE=",0)</f>
        <v>#REF!</v>
      </c>
      <c r="EQ29" t="e">
        <f>IF(#REF!,"AAAAAHtPeZI=",0)</f>
        <v>#REF!</v>
      </c>
      <c r="ER29" t="e">
        <f>IF(#REF!,"AAAAAHtPeZM=",0)</f>
        <v>#REF!</v>
      </c>
      <c r="ES29" t="e">
        <f>IF(#REF!,"AAAAAHtPeZQ=",0)</f>
        <v>#REF!</v>
      </c>
      <c r="ET29" t="e">
        <f>IF(#REF!,"AAAAAHtPeZU=",0)</f>
        <v>#REF!</v>
      </c>
      <c r="EU29" t="e">
        <f>IF(#REF!,"AAAAAHtPeZY=",0)</f>
        <v>#REF!</v>
      </c>
      <c r="EV29" t="e">
        <f>IF(#REF!,"AAAAAHtPeZc=",0)</f>
        <v>#REF!</v>
      </c>
      <c r="EW29" t="e">
        <f>IF(#REF!,"AAAAAHtPeZg=",0)</f>
        <v>#REF!</v>
      </c>
      <c r="EX29" t="e">
        <f>IF(#REF!,"AAAAAHtPeZk=",0)</f>
        <v>#REF!</v>
      </c>
      <c r="EY29" t="e">
        <f>IF(#REF!,"AAAAAHtPeZo=",0)</f>
        <v>#REF!</v>
      </c>
      <c r="EZ29" t="e">
        <f>IF(#REF!,"AAAAAHtPeZs=",0)</f>
        <v>#REF!</v>
      </c>
      <c r="FA29" t="e">
        <f>IF(#REF!,"AAAAAHtPeZw=",0)</f>
        <v>#REF!</v>
      </c>
      <c r="FB29" t="e">
        <f>IF(#REF!,"AAAAAHtPeZ0=",0)</f>
        <v>#REF!</v>
      </c>
      <c r="FC29" t="e">
        <f>IF(#REF!,"AAAAAHtPeZ4=",0)</f>
        <v>#REF!</v>
      </c>
      <c r="FD29" t="e">
        <f>IF(#REF!,"AAAAAHtPeZ8=",0)</f>
        <v>#REF!</v>
      </c>
      <c r="FE29" t="e">
        <f>IF(#REF!,"AAAAAHtPeaA=",0)</f>
        <v>#REF!</v>
      </c>
      <c r="FF29" t="e">
        <f>IF(#REF!,"AAAAAHtPeaE=",0)</f>
        <v>#REF!</v>
      </c>
      <c r="FG29" t="e">
        <f>IF(#REF!,"AAAAAHtPeaI=",0)</f>
        <v>#REF!</v>
      </c>
      <c r="FH29" t="e">
        <f>IF(#REF!,"AAAAAHtPeaM=",0)</f>
        <v>#REF!</v>
      </c>
      <c r="FI29" t="e">
        <f>IF(#REF!,"AAAAAHtPeaQ=",0)</f>
        <v>#REF!</v>
      </c>
      <c r="FJ29" t="e">
        <f>IF(#REF!,"AAAAAHtPeaU=",0)</f>
        <v>#REF!</v>
      </c>
      <c r="FK29" t="e">
        <f>IF(#REF!,"AAAAAHtPeaY=",0)</f>
        <v>#REF!</v>
      </c>
      <c r="FL29" t="e">
        <f>IF(#REF!,"AAAAAHtPeac=",0)</f>
        <v>#REF!</v>
      </c>
      <c r="FM29" t="e">
        <f>IF(#REF!,"AAAAAHtPeag=",0)</f>
        <v>#REF!</v>
      </c>
      <c r="FN29" t="e">
        <f>IF(#REF!,"AAAAAHtPeak=",0)</f>
        <v>#REF!</v>
      </c>
      <c r="FO29" t="e">
        <f>IF(#REF!,"AAAAAHtPeao=",0)</f>
        <v>#REF!</v>
      </c>
      <c r="FP29" t="e">
        <f>IF(#REF!,"AAAAAHtPeas=",0)</f>
        <v>#REF!</v>
      </c>
      <c r="FQ29" t="e">
        <f>IF(#REF!,"AAAAAHtPeaw=",0)</f>
        <v>#REF!</v>
      </c>
      <c r="FR29" t="e">
        <f>IF(#REF!,"AAAAAHtPea0=",0)</f>
        <v>#REF!</v>
      </c>
      <c r="FS29" t="e">
        <f>IF(#REF!,"AAAAAHtPea4=",0)</f>
        <v>#REF!</v>
      </c>
      <c r="FT29" t="e">
        <f>IF(#REF!,"AAAAAHtPea8=",0)</f>
        <v>#REF!</v>
      </c>
      <c r="FU29" t="e">
        <f>IF(#REF!,"AAAAAHtPebA=",0)</f>
        <v>#REF!</v>
      </c>
      <c r="FV29" t="e">
        <f>IF(#REF!,"AAAAAHtPebE=",0)</f>
        <v>#REF!</v>
      </c>
      <c r="FW29" t="e">
        <f>IF(#REF!,"AAAAAHtPebI=",0)</f>
        <v>#REF!</v>
      </c>
      <c r="FX29" t="e">
        <f>IF(#REF!,"AAAAAHtPebM=",0)</f>
        <v>#REF!</v>
      </c>
      <c r="FY29" t="e">
        <f>IF(#REF!,"AAAAAHtPebQ=",0)</f>
        <v>#REF!</v>
      </c>
      <c r="FZ29" t="e">
        <f>IF(#REF!,"AAAAAHtPebU=",0)</f>
        <v>#REF!</v>
      </c>
      <c r="GA29" t="e">
        <f>IF(#REF!,"AAAAAHtPebY=",0)</f>
        <v>#REF!</v>
      </c>
      <c r="GB29" t="e">
        <f>IF(#REF!,"AAAAAHtPebc=",0)</f>
        <v>#REF!</v>
      </c>
      <c r="GC29" t="e">
        <f>IF(#REF!,"AAAAAHtPebg=",0)</f>
        <v>#REF!</v>
      </c>
      <c r="GD29" t="e">
        <f>IF(#REF!,"AAAAAHtPebk=",0)</f>
        <v>#REF!</v>
      </c>
      <c r="GE29" t="e">
        <f>IF(#REF!,"AAAAAHtPebo=",0)</f>
        <v>#REF!</v>
      </c>
      <c r="GF29" t="e">
        <f>IF(#REF!,"AAAAAHtPebs=",0)</f>
        <v>#REF!</v>
      </c>
      <c r="GG29" t="e">
        <f>IF(#REF!,"AAAAAHtPebw=",0)</f>
        <v>#REF!</v>
      </c>
      <c r="GH29" t="e">
        <f>IF(#REF!,"AAAAAHtPeb0=",0)</f>
        <v>#REF!</v>
      </c>
      <c r="GI29" t="e">
        <f>IF(#REF!,"AAAAAHtPeb4=",0)</f>
        <v>#REF!</v>
      </c>
      <c r="GJ29" t="e">
        <f>IF(#REF!,"AAAAAHtPeb8=",0)</f>
        <v>#REF!</v>
      </c>
      <c r="GK29" t="e">
        <f>IF(#REF!,"AAAAAHtPecA=",0)</f>
        <v>#REF!</v>
      </c>
      <c r="GL29" t="e">
        <f>IF(#REF!,"AAAAAHtPecE=",0)</f>
        <v>#REF!</v>
      </c>
      <c r="GM29" t="e">
        <f>IF(#REF!,"AAAAAHtPecI=",0)</f>
        <v>#REF!</v>
      </c>
      <c r="GN29" t="e">
        <f>IF(#REF!,"AAAAAHtPecM=",0)</f>
        <v>#REF!</v>
      </c>
      <c r="GO29" t="e">
        <f>IF(#REF!,"AAAAAHtPecQ=",0)</f>
        <v>#REF!</v>
      </c>
      <c r="GP29" t="e">
        <f>IF(#REF!,"AAAAAHtPecU=",0)</f>
        <v>#REF!</v>
      </c>
      <c r="GQ29" t="e">
        <f>IF(#REF!,"AAAAAHtPecY=",0)</f>
        <v>#REF!</v>
      </c>
      <c r="GR29" t="e">
        <f>IF(#REF!,"AAAAAHtPecc=",0)</f>
        <v>#REF!</v>
      </c>
      <c r="GS29" t="e">
        <f>IF(#REF!,"AAAAAHtPecg=",0)</f>
        <v>#REF!</v>
      </c>
      <c r="GT29" t="e">
        <f>IF(#REF!,"AAAAAHtPeck=",0)</f>
        <v>#REF!</v>
      </c>
      <c r="GU29" t="e">
        <f>IF(#REF!,"AAAAAHtPeco=",0)</f>
        <v>#REF!</v>
      </c>
      <c r="GV29" t="e">
        <f>IF(#REF!,"AAAAAHtPecs=",0)</f>
        <v>#REF!</v>
      </c>
      <c r="GW29" t="e">
        <f>IF(#REF!,"AAAAAHtPecw=",0)</f>
        <v>#REF!</v>
      </c>
      <c r="GX29" t="e">
        <f>IF(#REF!,"AAAAAHtPec0=",0)</f>
        <v>#REF!</v>
      </c>
      <c r="GY29" t="e">
        <f>IF(#REF!,"AAAAAHtPec4=",0)</f>
        <v>#REF!</v>
      </c>
      <c r="GZ29" t="e">
        <f>IF(#REF!,"AAAAAHtPec8=",0)</f>
        <v>#REF!</v>
      </c>
      <c r="HA29" t="e">
        <f>IF(#REF!,"AAAAAHtPedA=",0)</f>
        <v>#REF!</v>
      </c>
      <c r="HB29" t="e">
        <f>IF(#REF!,"AAAAAHtPedE=",0)</f>
        <v>#REF!</v>
      </c>
      <c r="HC29" t="e">
        <f>IF(#REF!,"AAAAAHtPedI=",0)</f>
        <v>#REF!</v>
      </c>
      <c r="HD29" t="e">
        <f>IF(#REF!,"AAAAAHtPedM=",0)</f>
        <v>#REF!</v>
      </c>
      <c r="HE29" t="e">
        <f>IF(#REF!,"AAAAAHtPedQ=",0)</f>
        <v>#REF!</v>
      </c>
      <c r="HF29" t="e">
        <f>IF(#REF!,"AAAAAHtPedU=",0)</f>
        <v>#REF!</v>
      </c>
      <c r="HG29" t="e">
        <f>IF(#REF!,"AAAAAHtPedY=",0)</f>
        <v>#REF!</v>
      </c>
      <c r="HH29" t="e">
        <f>IF(#REF!,"AAAAAHtPedc=",0)</f>
        <v>#REF!</v>
      </c>
      <c r="HI29" t="e">
        <f>IF(#REF!,"AAAAAHtPedg=",0)</f>
        <v>#REF!</v>
      </c>
      <c r="HJ29" t="e">
        <f>IF(#REF!,"AAAAAHtPedk=",0)</f>
        <v>#REF!</v>
      </c>
      <c r="HK29" t="e">
        <f>IF(#REF!,"AAAAAHtPedo=",0)</f>
        <v>#REF!</v>
      </c>
      <c r="HL29" t="e">
        <f>IF(#REF!,"AAAAAHtPeds=",0)</f>
        <v>#REF!</v>
      </c>
      <c r="HM29" t="e">
        <f>IF(#REF!,"AAAAAHtPedw=",0)</f>
        <v>#REF!</v>
      </c>
      <c r="HN29" t="e">
        <f>IF(#REF!,"AAAAAHtPed0=",0)</f>
        <v>#REF!</v>
      </c>
      <c r="HO29" t="e">
        <f>IF(#REF!,"AAAAAHtPed4=",0)</f>
        <v>#REF!</v>
      </c>
      <c r="HP29" t="e">
        <f>IF(#REF!,"AAAAAHtPed8=",0)</f>
        <v>#REF!</v>
      </c>
      <c r="HQ29" t="e">
        <f>IF(#REF!,"AAAAAHtPeeA=",0)</f>
        <v>#REF!</v>
      </c>
      <c r="HR29" t="e">
        <f>IF(#REF!,"AAAAAHtPeeE=",0)</f>
        <v>#REF!</v>
      </c>
      <c r="HS29" t="e">
        <f>IF(#REF!,"AAAAAHtPeeI=",0)</f>
        <v>#REF!</v>
      </c>
      <c r="HT29" t="e">
        <f>IF(#REF!,"AAAAAHtPeeM=",0)</f>
        <v>#REF!</v>
      </c>
      <c r="HU29" t="e">
        <f>IF(#REF!,"AAAAAHtPeeQ=",0)</f>
        <v>#REF!</v>
      </c>
      <c r="HV29" t="e">
        <f>IF(#REF!,"AAAAAHtPeeU=",0)</f>
        <v>#REF!</v>
      </c>
      <c r="HW29" t="e">
        <f>IF(#REF!,"AAAAAHtPeeY=",0)</f>
        <v>#REF!</v>
      </c>
      <c r="HX29" t="e">
        <f>IF(#REF!,"AAAAAHtPeec=",0)</f>
        <v>#REF!</v>
      </c>
      <c r="HY29" t="e">
        <f>IF(#REF!,"AAAAAHtPeeg=",0)</f>
        <v>#REF!</v>
      </c>
      <c r="HZ29" t="e">
        <f>IF(#REF!,"AAAAAHtPeek=",0)</f>
        <v>#REF!</v>
      </c>
      <c r="IA29" t="e">
        <f>IF(#REF!,"AAAAAHtPeeo=",0)</f>
        <v>#REF!</v>
      </c>
      <c r="IB29" t="e">
        <f>IF(#REF!,"AAAAAHtPees=",0)</f>
        <v>#REF!</v>
      </c>
      <c r="IC29" t="e">
        <f>IF(#REF!,"AAAAAHtPeew=",0)</f>
        <v>#REF!</v>
      </c>
      <c r="ID29" t="e">
        <f>IF(#REF!,"AAAAAHtPee0=",0)</f>
        <v>#REF!</v>
      </c>
      <c r="IE29" t="e">
        <f>IF(#REF!,"AAAAAHtPee4=",0)</f>
        <v>#REF!</v>
      </c>
      <c r="IF29" t="e">
        <f>IF(#REF!,"AAAAAHtPee8=",0)</f>
        <v>#REF!</v>
      </c>
      <c r="IG29" t="e">
        <f>IF(#REF!,"AAAAAHtPefA=",0)</f>
        <v>#REF!</v>
      </c>
      <c r="IH29" t="e">
        <f>IF(#REF!,"AAAAAHtPefE=",0)</f>
        <v>#REF!</v>
      </c>
      <c r="II29" t="e">
        <f>IF(#REF!,"AAAAAHtPefI=",0)</f>
        <v>#REF!</v>
      </c>
      <c r="IJ29" t="e">
        <f>IF(#REF!,"AAAAAHtPefM=",0)</f>
        <v>#REF!</v>
      </c>
      <c r="IK29" t="e">
        <f>IF(#REF!,"AAAAAHtPefQ=",0)</f>
        <v>#REF!</v>
      </c>
      <c r="IL29" t="e">
        <f>IF(#REF!,"AAAAAHtPefU=",0)</f>
        <v>#REF!</v>
      </c>
      <c r="IM29" t="e">
        <f>IF(#REF!,"AAAAAHtPefY=",0)</f>
        <v>#REF!</v>
      </c>
      <c r="IN29" t="e">
        <f>IF(#REF!,"AAAAAHtPefc=",0)</f>
        <v>#REF!</v>
      </c>
      <c r="IO29" t="e">
        <f>IF(#REF!,"AAAAAHtPefg=",0)</f>
        <v>#REF!</v>
      </c>
      <c r="IP29" t="e">
        <f>IF(#REF!,"AAAAAHtPefk=",0)</f>
        <v>#REF!</v>
      </c>
      <c r="IQ29" t="e">
        <f>IF(#REF!,"AAAAAHtPefo=",0)</f>
        <v>#REF!</v>
      </c>
      <c r="IR29" t="e">
        <f>IF(#REF!,"AAAAAHtPefs=",0)</f>
        <v>#REF!</v>
      </c>
      <c r="IS29" t="e">
        <f>IF(#REF!,"AAAAAHtPefw=",0)</f>
        <v>#REF!</v>
      </c>
      <c r="IT29" t="e">
        <f>IF(#REF!,"AAAAAHtPef0=",0)</f>
        <v>#REF!</v>
      </c>
      <c r="IU29" t="e">
        <f>IF(#REF!,"AAAAAHtPef4=",0)</f>
        <v>#REF!</v>
      </c>
      <c r="IV29" t="e">
        <f>IF(#REF!,"AAAAAHtPef8=",0)</f>
        <v>#REF!</v>
      </c>
    </row>
    <row r="30" spans="1:256" x14ac:dyDescent="0.25">
      <c r="A30" t="e">
        <f>IF(#REF!,"AAAAAHl//QA=",0)</f>
        <v>#REF!</v>
      </c>
      <c r="B30" t="e">
        <f>IF(#REF!,"AAAAAHl//QE=",0)</f>
        <v>#REF!</v>
      </c>
      <c r="C30" t="e">
        <f>IF(#REF!,"AAAAAHl//QI=",0)</f>
        <v>#REF!</v>
      </c>
      <c r="D30" t="e">
        <f>IF(#REF!,"AAAAAHl//QM=",0)</f>
        <v>#REF!</v>
      </c>
      <c r="E30" t="e">
        <f>IF(#REF!,"AAAAAHl//QQ=",0)</f>
        <v>#REF!</v>
      </c>
      <c r="F30" t="e">
        <f>IF(#REF!,"AAAAAHl//QU=",0)</f>
        <v>#REF!</v>
      </c>
      <c r="G30" t="e">
        <f>IF(#REF!,"AAAAAHl//QY=",0)</f>
        <v>#REF!</v>
      </c>
      <c r="H30" t="e">
        <f>IF(#REF!,"AAAAAHl//Qc=",0)</f>
        <v>#REF!</v>
      </c>
      <c r="I30" t="e">
        <f>IF(#REF!,"AAAAAHl//Qg=",0)</f>
        <v>#REF!</v>
      </c>
      <c r="J30" t="e">
        <f>IF(#REF!,"AAAAAHl//Qk=",0)</f>
        <v>#REF!</v>
      </c>
      <c r="K30" t="e">
        <f>IF(#REF!,"AAAAAHl//Qo=",0)</f>
        <v>#REF!</v>
      </c>
      <c r="L30" t="e">
        <f>IF(#REF!,"AAAAAHl//Qs=",0)</f>
        <v>#REF!</v>
      </c>
      <c r="M30" t="e">
        <f>IF(#REF!,"AAAAAHl//Qw=",0)</f>
        <v>#REF!</v>
      </c>
      <c r="N30" t="e">
        <f>IF(#REF!,"AAAAAHl//Q0=",0)</f>
        <v>#REF!</v>
      </c>
      <c r="O30" t="e">
        <f>IF(#REF!,"AAAAAHl//Q4=",0)</f>
        <v>#REF!</v>
      </c>
      <c r="P30" t="e">
        <f>IF(#REF!,"AAAAAHl//Q8=",0)</f>
        <v>#REF!</v>
      </c>
      <c r="Q30" t="e">
        <f>IF(#REF!,"AAAAAHl//RA=",0)</f>
        <v>#REF!</v>
      </c>
      <c r="R30" t="e">
        <f>IF(#REF!,"AAAAAHl//RE=",0)</f>
        <v>#REF!</v>
      </c>
      <c r="S30" t="e">
        <f>IF(#REF!,"AAAAAHl//RI=",0)</f>
        <v>#REF!</v>
      </c>
      <c r="T30" t="e">
        <f>IF(#REF!,"AAAAAHl//RM=",0)</f>
        <v>#REF!</v>
      </c>
      <c r="U30" t="e">
        <f>IF(#REF!,"AAAAAHl//RQ=",0)</f>
        <v>#REF!</v>
      </c>
      <c r="V30" t="s">
        <v>52</v>
      </c>
      <c r="W30" t="s">
        <v>53</v>
      </c>
      <c r="X30" t="s">
        <v>54</v>
      </c>
      <c r="Y30" t="e">
        <f>IF("N",[0]!_xlnm.Print_Area,"AAAAAHl//Rg=")</f>
        <v>#VALUE!</v>
      </c>
      <c r="Z30" t="e">
        <f>IF("N",Budget!_xlnm.Print_Area,"AAAAAHl//Rk=")</f>
        <v>#VALUE!</v>
      </c>
      <c r="AA30" t="e">
        <f>IF("N",[0]!_xlnm.Print_Area,"AAAAAHl//Ro=")</f>
        <v>#VALUE!</v>
      </c>
    </row>
    <row r="31" spans="1:256" x14ac:dyDescent="0.25">
      <c r="A31" t="s">
        <v>55</v>
      </c>
      <c r="B31" t="s">
        <v>56</v>
      </c>
      <c r="C31" t="e">
        <f>IF("N",[0]!_xlnm.Print_Area,"AAAAAD+3/wI=")</f>
        <v>#VALUE!</v>
      </c>
      <c r="D31" t="e">
        <f>IF("N",Budget!_xlnm.Print_Area,"AAAAAD+3/wM=")</f>
        <v>#VALUE!</v>
      </c>
      <c r="E31" t="e">
        <f>IF("N",[0]!_xlnm.Print_Area,"AAAAAD+3/wQ=")</f>
        <v>#VALUE!</v>
      </c>
    </row>
    <row r="32" spans="1:256" x14ac:dyDescent="0.25">
      <c r="A32" t="s">
        <v>57</v>
      </c>
      <c r="B32" t="s">
        <v>58</v>
      </c>
      <c r="C32" t="e">
        <f>IF("N",[0]!_xlnm.Print_Area,"AAAAAH/1/gI=")</f>
        <v>#VALUE!</v>
      </c>
      <c r="D32" t="e">
        <f>IF("N",Budget!_xlnm.Print_Area,"AAAAAH/1/gM=")</f>
        <v>#VALUE!</v>
      </c>
      <c r="E32" t="e">
        <f>IF("N",[0]!_xlnm.Print_Area,"AAAAAH/1/gQ=")</f>
        <v>#VALUE!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702A0F05FE5445A8C9E13665455098" ma:contentTypeVersion="18" ma:contentTypeDescription="Create a new document." ma:contentTypeScope="" ma:versionID="c073c945b6b9858c1eafeb4712cd55d7">
  <xsd:schema xmlns:xsd="http://www.w3.org/2001/XMLSchema" xmlns:xs="http://www.w3.org/2001/XMLSchema" xmlns:p="http://schemas.microsoft.com/office/2006/metadata/properties" xmlns:ns2="eef94b24-ea73-40e5-b383-07b46a780f4e" xmlns:ns3="184602a1-ac07-4e55-9919-1272d6eb6f22" targetNamespace="http://schemas.microsoft.com/office/2006/metadata/properties" ma:root="true" ma:fieldsID="0d819b214b876eafda4417b3cd2a31a1" ns2:_="" ns3:_="">
    <xsd:import namespace="eef94b24-ea73-40e5-b383-07b46a780f4e"/>
    <xsd:import namespace="184602a1-ac07-4e55-9919-1272d6eb6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Dat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94b24-ea73-40e5-b383-07b46a780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ffc52e4-3c6a-4a16-be6e-7671789e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Date" ma:index="22" nillable="true" ma:displayName="Image" ma:format="Thumbnail" ma:internalName="Dat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602a1-ac07-4e55-9919-1272d6eb6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d48a11-1ddd-43e0-b3ee-61b32da38df3}" ma:internalName="TaxCatchAll" ma:showField="CatchAllData" ma:web="184602a1-ac07-4e55-9919-1272d6eb6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602a1-ac07-4e55-9919-1272d6eb6f22" xsi:nil="true"/>
    <Date xmlns="eef94b24-ea73-40e5-b383-07b46a780f4e" xsi:nil="true"/>
    <_Flow_SignoffStatus xmlns="eef94b24-ea73-40e5-b383-07b46a780f4e" xsi:nil="true"/>
    <lcf76f155ced4ddcb4097134ff3c332f xmlns="eef94b24-ea73-40e5-b383-07b46a780f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347521-0DB3-4832-B9B2-AD5E02748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94b24-ea73-40e5-b383-07b46a780f4e"/>
    <ds:schemaRef ds:uri="184602a1-ac07-4e55-9919-1272d6eb6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9B1A0-EB69-4BA7-B97E-BE34F0BE85E0}">
  <ds:schemaRefs>
    <ds:schemaRef ds:uri="http://schemas.microsoft.com/office/2006/metadata/properties"/>
    <ds:schemaRef ds:uri="http://schemas.microsoft.com/office/infopath/2007/PartnerControls"/>
    <ds:schemaRef ds:uri="184602a1-ac07-4e55-9919-1272d6eb6f22"/>
    <ds:schemaRef ds:uri="eef94b24-ea73-40e5-b383-07b46a780f4e"/>
  </ds:schemaRefs>
</ds:datastoreItem>
</file>

<file path=customXml/itemProps3.xml><?xml version="1.0" encoding="utf-8"?>
<ds:datastoreItem xmlns:ds="http://schemas.openxmlformats.org/officeDocument/2006/customXml" ds:itemID="{F833F393-9D41-4395-96DA-F72ABA9D9C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Chevallier</dc:creator>
  <cp:keywords/>
  <dc:description/>
  <cp:lastModifiedBy>Haller-Guimier Charlotte - UCI</cp:lastModifiedBy>
  <cp:revision/>
  <dcterms:created xsi:type="dcterms:W3CDTF">2004-02-29T18:27:36Z</dcterms:created>
  <dcterms:modified xsi:type="dcterms:W3CDTF">2025-09-12T12:38:37Z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Annee">
    <vt:lpwstr>2009</vt:lpwstr>
  </property>
  <property fmtid="{D5CDD505-2E9C-101B-9397-08002B2CF9AE}" pid="4" name="Catégorie">
    <vt:lpwstr>Route</vt:lpwstr>
  </property>
  <property fmtid="{D5CDD505-2E9C-101B-9397-08002B2CF9AE}" pid="5" name="Status">
    <vt:lpwstr/>
  </property>
  <property fmtid="{D5CDD505-2E9C-101B-9397-08002B2CF9AE}" pid="6" name="SPSDescription">
    <vt:lpwstr/>
  </property>
  <property fmtid="{D5CDD505-2E9C-101B-9397-08002B2CF9AE}" pid="7" name="événement">
    <vt:lpwstr/>
  </property>
  <property fmtid="{D5CDD505-2E9C-101B-9397-08002B2CF9AE}" pid="8" name="Sujet">
    <vt:lpwstr/>
  </property>
  <property fmtid="{D5CDD505-2E9C-101B-9397-08002B2CF9AE}" pid="9" name="Type de document">
    <vt:lpwstr/>
  </property>
  <property fmtid="{D5CDD505-2E9C-101B-9397-08002B2CF9AE}" pid="10" name="Owner">
    <vt:lpwstr>Joanna Donzé</vt:lpwstr>
  </property>
  <property fmtid="{D5CDD505-2E9C-101B-9397-08002B2CF9AE}" pid="11" name="Google.Documents.Tracking">
    <vt:lpwstr>true</vt:lpwstr>
  </property>
  <property fmtid="{D5CDD505-2E9C-101B-9397-08002B2CF9AE}" pid="12" name="Google.Documents.DocumentId">
    <vt:lpwstr>1ehTX0JBI9bxpxvFmrLSa5Hyh7DAlWWtIiQWoNQD1RoM</vt:lpwstr>
  </property>
  <property fmtid="{D5CDD505-2E9C-101B-9397-08002B2CF9AE}" pid="13" name="Google.Documents.RevisionId">
    <vt:lpwstr>03938489812132269847</vt:lpwstr>
  </property>
  <property fmtid="{D5CDD505-2E9C-101B-9397-08002B2CF9AE}" pid="14" name="Google.Documents.PreviousRevisionId">
    <vt:lpwstr>02344788851189166717</vt:lpwstr>
  </property>
  <property fmtid="{D5CDD505-2E9C-101B-9397-08002B2CF9AE}" pid="15" name="Google.Documents.PluginVersion">
    <vt:lpwstr>2.0.2154.5604</vt:lpwstr>
  </property>
  <property fmtid="{D5CDD505-2E9C-101B-9397-08002B2CF9AE}" pid="16" name="Google.Documents.MergeIncapabilityFlags">
    <vt:i4>0</vt:i4>
  </property>
  <property fmtid="{D5CDD505-2E9C-101B-9397-08002B2CF9AE}" pid="17" name="ContentTypeId">
    <vt:lpwstr>0x010100B3702A0F05FE5445A8C9E13665455098</vt:lpwstr>
  </property>
  <property fmtid="{D5CDD505-2E9C-101B-9397-08002B2CF9AE}" pid="18" name="MediaServiceImageTags">
    <vt:lpwstr/>
  </property>
</Properties>
</file>